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sses\OneDrive\Desktop\Greenleaf\2026 Greenleaf Assessments\Assessor Land Studies\"/>
    </mc:Choice>
  </mc:AlternateContent>
  <xr:revisionPtr revIDLastSave="0" documentId="13_ncr:1_{B3B2E6B4-6528-4036-8B6B-4E838C5382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ural" sheetId="2" r:id="rId1"/>
    <sheet name="Secondary" sheetId="1" r:id="rId2"/>
    <sheet name="Prim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3" l="1"/>
  <c r="K20" i="3" s="1"/>
  <c r="K19" i="3"/>
  <c r="J26" i="1"/>
  <c r="J27" i="1" s="1"/>
  <c r="K25" i="1"/>
  <c r="I28" i="2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J27" i="2"/>
  <c r="J21" i="3" l="1"/>
  <c r="J28" i="1"/>
  <c r="K27" i="1"/>
  <c r="K26" i="1"/>
  <c r="J29" i="2"/>
  <c r="J28" i="2"/>
  <c r="K21" i="3" l="1"/>
  <c r="J22" i="3"/>
  <c r="J29" i="1"/>
  <c r="K28" i="1"/>
  <c r="J30" i="2"/>
  <c r="K22" i="3" l="1"/>
  <c r="J23" i="3"/>
  <c r="J30" i="1"/>
  <c r="K29" i="1"/>
  <c r="J31" i="2"/>
  <c r="J24" i="3" l="1"/>
  <c r="K23" i="3"/>
  <c r="J31" i="1"/>
  <c r="K30" i="1"/>
  <c r="J32" i="2"/>
  <c r="K24" i="3" l="1"/>
  <c r="J25" i="3"/>
  <c r="J32" i="1"/>
  <c r="K31" i="1"/>
  <c r="J33" i="2"/>
  <c r="K25" i="3" l="1"/>
  <c r="J26" i="3"/>
  <c r="K32" i="1"/>
  <c r="J33" i="1"/>
  <c r="J34" i="2"/>
  <c r="J27" i="3" l="1"/>
  <c r="K26" i="3"/>
  <c r="K33" i="1"/>
  <c r="J34" i="1"/>
  <c r="J35" i="2"/>
  <c r="J28" i="3" l="1"/>
  <c r="K27" i="3"/>
  <c r="J35" i="1"/>
  <c r="K34" i="1"/>
  <c r="J36" i="2"/>
  <c r="K28" i="3" l="1"/>
  <c r="J29" i="3"/>
  <c r="J36" i="1"/>
  <c r="K35" i="1"/>
  <c r="J37" i="2"/>
  <c r="K29" i="3" l="1"/>
  <c r="J30" i="3"/>
  <c r="J37" i="1"/>
  <c r="K36" i="1"/>
  <c r="J38" i="2"/>
  <c r="K30" i="3" l="1"/>
  <c r="J31" i="3"/>
  <c r="J38" i="1"/>
  <c r="K37" i="1"/>
  <c r="J39" i="2"/>
  <c r="J32" i="3" l="1"/>
  <c r="K31" i="3"/>
  <c r="J39" i="1"/>
  <c r="K38" i="1"/>
  <c r="J40" i="2"/>
  <c r="J33" i="3" l="1"/>
  <c r="K32" i="3"/>
  <c r="J40" i="1"/>
  <c r="K40" i="1" s="1"/>
  <c r="K39" i="1"/>
  <c r="J42" i="2"/>
  <c r="J41" i="2"/>
  <c r="K33" i="3" l="1"/>
  <c r="J34" i="3"/>
  <c r="K34" i="3" s="1"/>
  <c r="P7" i="3" l="1"/>
  <c r="O7" i="3"/>
  <c r="N7" i="3"/>
  <c r="L7" i="3"/>
  <c r="J7" i="3"/>
  <c r="I7" i="3"/>
  <c r="F7" i="3"/>
  <c r="M3" i="3"/>
  <c r="Q3" i="3" s="1"/>
  <c r="K3" i="3"/>
  <c r="M21" i="1"/>
  <c r="Q21" i="1" s="1"/>
  <c r="K21" i="1"/>
  <c r="M15" i="3" l="1"/>
  <c r="Q15" i="3" s="1"/>
  <c r="K15" i="3"/>
  <c r="M14" i="3"/>
  <c r="Q14" i="3" s="1"/>
  <c r="K14" i="3"/>
  <c r="M13" i="3"/>
  <c r="Q13" i="3" s="1"/>
  <c r="K13" i="3"/>
  <c r="M12" i="3"/>
  <c r="Q12" i="3" s="1"/>
  <c r="K12" i="3"/>
  <c r="M20" i="1"/>
  <c r="Q20" i="1" s="1"/>
  <c r="K20" i="1"/>
  <c r="L23" i="2"/>
  <c r="P23" i="2" s="1"/>
  <c r="J23" i="2"/>
  <c r="L22" i="2"/>
  <c r="P22" i="2" s="1"/>
  <c r="J22" i="2"/>
  <c r="L21" i="2"/>
  <c r="P21" i="2" s="1"/>
  <c r="J21" i="2"/>
  <c r="L20" i="2"/>
  <c r="P20" i="2" s="1"/>
  <c r="J20" i="2"/>
  <c r="M19" i="1"/>
  <c r="Q19" i="1" s="1"/>
  <c r="K19" i="1"/>
  <c r="M18" i="1"/>
  <c r="Q18" i="1" s="1"/>
  <c r="K18" i="1"/>
  <c r="M17" i="1"/>
  <c r="Q17" i="1" s="1"/>
  <c r="K17" i="1"/>
  <c r="M16" i="1"/>
  <c r="Q16" i="1" s="1"/>
  <c r="K16" i="1"/>
  <c r="M6" i="3"/>
  <c r="Q6" i="3" s="1"/>
  <c r="K6" i="3"/>
  <c r="M5" i="3"/>
  <c r="Q5" i="3" s="1"/>
  <c r="K5" i="3"/>
  <c r="M4" i="3"/>
  <c r="K4" i="3"/>
  <c r="P11" i="1"/>
  <c r="O11" i="1"/>
  <c r="N11" i="1"/>
  <c r="L11" i="1"/>
  <c r="J11" i="1"/>
  <c r="I11" i="1"/>
  <c r="F11" i="1"/>
  <c r="M10" i="1"/>
  <c r="Q10" i="1" s="1"/>
  <c r="K10" i="1"/>
  <c r="M9" i="1"/>
  <c r="Q9" i="1" s="1"/>
  <c r="K9" i="1"/>
  <c r="M8" i="1"/>
  <c r="Q8" i="1" s="1"/>
  <c r="K8" i="1"/>
  <c r="M7" i="1"/>
  <c r="Q7" i="1" s="1"/>
  <c r="K7" i="1"/>
  <c r="M6" i="1"/>
  <c r="Q6" i="1" s="1"/>
  <c r="K6" i="1"/>
  <c r="M5" i="1"/>
  <c r="Q5" i="1" s="1"/>
  <c r="K5" i="1"/>
  <c r="M4" i="1"/>
  <c r="Q4" i="1" s="1"/>
  <c r="K4" i="1"/>
  <c r="M3" i="1"/>
  <c r="Q3" i="1" s="1"/>
  <c r="K3" i="1"/>
  <c r="J4" i="2"/>
  <c r="L4" i="2"/>
  <c r="J5" i="2"/>
  <c r="L5" i="2"/>
  <c r="P5" i="2" s="1"/>
  <c r="J6" i="2"/>
  <c r="L6" i="2"/>
  <c r="P6" i="2" s="1"/>
  <c r="J7" i="2"/>
  <c r="L7" i="2"/>
  <c r="J8" i="2"/>
  <c r="L8" i="2"/>
  <c r="P8" i="2" s="1"/>
  <c r="J9" i="2"/>
  <c r="L9" i="2"/>
  <c r="P9" i="2" s="1"/>
  <c r="J10" i="2"/>
  <c r="L10" i="2"/>
  <c r="J11" i="2"/>
  <c r="L11" i="2"/>
  <c r="J12" i="2"/>
  <c r="L12" i="2"/>
  <c r="P12" i="2" s="1"/>
  <c r="J13" i="2"/>
  <c r="L13" i="2"/>
  <c r="P13" i="2" s="1"/>
  <c r="J14" i="2"/>
  <c r="L14" i="2"/>
  <c r="P14" i="2" s="1"/>
  <c r="F15" i="2"/>
  <c r="H15" i="2"/>
  <c r="I15" i="2"/>
  <c r="K15" i="2"/>
  <c r="M15" i="2"/>
  <c r="N15" i="2"/>
  <c r="O15" i="2"/>
  <c r="Q4" i="3" l="1"/>
  <c r="M7" i="3"/>
  <c r="P9" i="3" s="1"/>
  <c r="K9" i="3"/>
  <c r="K8" i="3"/>
  <c r="K13" i="1"/>
  <c r="K12" i="1"/>
  <c r="M11" i="1"/>
  <c r="P13" i="1" s="1"/>
  <c r="J16" i="2"/>
  <c r="P10" i="2"/>
  <c r="J17" i="2"/>
  <c r="P4" i="2"/>
  <c r="L15" i="2"/>
  <c r="P11" i="2"/>
  <c r="P7" i="2"/>
  <c r="O17" i="2" l="1"/>
</calcChain>
</file>

<file path=xl/sharedStrings.xml><?xml version="1.0" encoding="utf-8"?>
<sst xmlns="http://schemas.openxmlformats.org/spreadsheetml/2006/main" count="377" uniqueCount="144">
  <si>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</si>
  <si>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</si>
  <si>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</si>
  <si>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</si>
  <si>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</si>
  <si>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</si>
  <si>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</si>
  <si>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</si>
  <si>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</si>
  <si>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</si>
  <si>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</si>
  <si>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</si>
  <si>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Net Acres</t>
  </si>
  <si>
    <t>Total Acres</t>
  </si>
  <si>
    <t>Dollars/Acre</t>
  </si>
  <si>
    <t>ECF Area</t>
  </si>
  <si>
    <t>Liber/Page</t>
  </si>
  <si>
    <t>Other Parcels in Sale</t>
  </si>
  <si>
    <t>Class</t>
  </si>
  <si>
    <t>010-070-000-010-00</t>
  </si>
  <si>
    <t>4887 UBLY</t>
  </si>
  <si>
    <t>WD</t>
  </si>
  <si>
    <t>03-ARM'S LENGTH</t>
  </si>
  <si>
    <t>25 CI</t>
  </si>
  <si>
    <t>062-017-100-030-00</t>
  </si>
  <si>
    <t>7938 THIRD</t>
  </si>
  <si>
    <t>201</t>
  </si>
  <si>
    <t>071-040-001-005-00</t>
  </si>
  <si>
    <t>41 E LAPEER ST</t>
  </si>
  <si>
    <t>1574/428</t>
  </si>
  <si>
    <t>071-040-001-005-10</t>
  </si>
  <si>
    <t>071-070-001-003-00</t>
  </si>
  <si>
    <t>18 E LAPEER</t>
  </si>
  <si>
    <t>1593/170</t>
  </si>
  <si>
    <t>MLC</t>
  </si>
  <si>
    <t>111-250-000-033-01</t>
  </si>
  <si>
    <t>2440 N LAKESHORE</t>
  </si>
  <si>
    <t>130-032-200-065-00</t>
  </si>
  <si>
    <t>6320 VAN DYKE RD</t>
  </si>
  <si>
    <t>150-012-400-060-00</t>
  </si>
  <si>
    <t>3880 LAKESHORE</t>
  </si>
  <si>
    <t>150-033-200-060-02</t>
  </si>
  <si>
    <t>PECK</t>
  </si>
  <si>
    <t>1637/176</t>
  </si>
  <si>
    <t>152-300-000-047-00</t>
  </si>
  <si>
    <t>5481 MAIN</t>
  </si>
  <si>
    <t>170-029-400-070-20</t>
  </si>
  <si>
    <t>BURGESS</t>
  </si>
  <si>
    <t>171-031-200-280-40</t>
  </si>
  <si>
    <t>RANGE LINE</t>
  </si>
  <si>
    <t>181-009-200-010-00</t>
  </si>
  <si>
    <t>3783 VAN DYKE RD</t>
  </si>
  <si>
    <t>1582/617</t>
  </si>
  <si>
    <t>191-100-000-034-00</t>
  </si>
  <si>
    <t>1728 MAIN ST</t>
  </si>
  <si>
    <t>1569/333</t>
  </si>
  <si>
    <t>191-110-000-180-01</t>
  </si>
  <si>
    <t>FIFTH ST</t>
  </si>
  <si>
    <t>CASS STREET</t>
  </si>
  <si>
    <t>210-035-200-050-00</t>
  </si>
  <si>
    <t>2504 S LAKESHORE RD</t>
  </si>
  <si>
    <t>1618/758</t>
  </si>
  <si>
    <t>212-002-200-170-05</t>
  </si>
  <si>
    <t>178 S RIDGE ST</t>
  </si>
  <si>
    <t>212-270-000-053-00</t>
  </si>
  <si>
    <t>41 N RIDGE ST</t>
  </si>
  <si>
    <t>230-002-300-020-00</t>
  </si>
  <si>
    <t>355 OLD 51</t>
  </si>
  <si>
    <t>231-100-002-013-00</t>
  </si>
  <si>
    <t>96 MAIN ST</t>
  </si>
  <si>
    <t>LC</t>
  </si>
  <si>
    <t>231-130-001-005-00</t>
  </si>
  <si>
    <t>37 MAIN ST</t>
  </si>
  <si>
    <t>231-130-001-010-00</t>
  </si>
  <si>
    <t>4020 CHANDLER ST</t>
  </si>
  <si>
    <t>19-MULTI PARCEL ARM'S LENGTH</t>
  </si>
  <si>
    <t>231-130-001-001-05</t>
  </si>
  <si>
    <t>66 MARSHALL</t>
  </si>
  <si>
    <t>240-032-100-110-00</t>
  </si>
  <si>
    <t>2734 S SANDUSKY</t>
  </si>
  <si>
    <t>261-030-400-010-01</t>
  </si>
  <si>
    <t>8032 LAKESHORE</t>
  </si>
  <si>
    <t>1568/493</t>
  </si>
  <si>
    <t>300-018-100-550-00</t>
  </si>
  <si>
    <t>7108 MAPLE VALLEY</t>
  </si>
  <si>
    <t>310-100-005-010-00</t>
  </si>
  <si>
    <t>72.5 N HOWARD</t>
  </si>
  <si>
    <t>1611/263</t>
  </si>
  <si>
    <t>PTA</t>
  </si>
  <si>
    <t>310-190-000-039-00</t>
  </si>
  <si>
    <t>47 S HOWARD</t>
  </si>
  <si>
    <t>1560/853</t>
  </si>
  <si>
    <t>320-032-400-485-00</t>
  </si>
  <si>
    <t>400 GREEN ACRES</t>
  </si>
  <si>
    <t>320-100-001-002-00</t>
  </si>
  <si>
    <t>4 W SANILAC</t>
  </si>
  <si>
    <t>1560/544</t>
  </si>
  <si>
    <t>320-100-001-004-01</t>
  </si>
  <si>
    <t>33 W SANILAC</t>
  </si>
  <si>
    <t>1558/871</t>
  </si>
  <si>
    <t>320-100-001-020-00</t>
  </si>
  <si>
    <t>52 S ELK</t>
  </si>
  <si>
    <t>1585/250</t>
  </si>
  <si>
    <t>320-100-005-016-00</t>
  </si>
  <si>
    <t>88 AUSTIN</t>
  </si>
  <si>
    <t>1558/861</t>
  </si>
  <si>
    <t>320-160-000-007-00</t>
  </si>
  <si>
    <t>418 WOODLAND</t>
  </si>
  <si>
    <t>1582/10</t>
  </si>
  <si>
    <t>330-100-020-005-00</t>
  </si>
  <si>
    <t>6496 MARLETTE</t>
  </si>
  <si>
    <t>1561-340</t>
  </si>
  <si>
    <t>330-100-021-010-00</t>
  </si>
  <si>
    <t>2984 FENNER</t>
  </si>
  <si>
    <t>1578-299</t>
  </si>
  <si>
    <t>330-100-027-006-00</t>
  </si>
  <si>
    <t>3041 MAIN</t>
  </si>
  <si>
    <t>1556-739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</si>
  <si>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</si>
  <si>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</si>
  <si>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</si>
  <si>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</si>
  <si>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</si>
  <si>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</si>
  <si>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</si>
  <si>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 xml:space="preserve">Valuation </t>
  </si>
  <si>
    <t>Neighborhood</t>
  </si>
  <si>
    <t>RURAL</t>
  </si>
  <si>
    <t>SECONDARY</t>
  </si>
  <si>
    <t>PRIME</t>
  </si>
  <si>
    <t>Extraction</t>
  </si>
  <si>
    <t xml:space="preserve">Vacant </t>
  </si>
  <si>
    <t>NOT USED</t>
  </si>
  <si>
    <t>ACREAGE TABLE</t>
  </si>
  <si>
    <t>ACRES</t>
  </si>
  <si>
    <t>PRICE PER ACRE</t>
  </si>
  <si>
    <t>TOTAL</t>
  </si>
  <si>
    <t>USE</t>
  </si>
  <si>
    <t>2026 Sanilac County Secondary Commercial/Industrial Land Analysis</t>
  </si>
  <si>
    <t>2026 Sanilac County Prime Commercial/Industrial Land Analysis</t>
  </si>
  <si>
    <t>240-004-300-010-01 &amp; -03</t>
  </si>
  <si>
    <t>191-160-001-009-00&amp; -010-00</t>
  </si>
  <si>
    <t>GREENLEAF TWP INDUSTRIAL LAND ANALYSIS FOR 2026</t>
  </si>
  <si>
    <t>Rural Commercial/Industrial Land Analysis within Sanilac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</si>
</sst>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164" formatCode="#0.00_);[Red]\(#0.00\)"/>
    <numFmt numFmtId="165" formatCode="mm/dd/yy"/>
    <numFmt numFmtId="166" formatCode="&quot;$&quot;#,##0.00"/>
    <numFmt numFmtId="167" formatCode="&quot;$&quot;#,##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quotePrefix="1" applyFont="1" applyAlignment="1">
      <alignment horizontal="right"/>
    </xf>
    <xf numFmtId="0" fontId="2" fillId="2" borderId="0" xfId="0" applyFont="1" applyFill="1" applyAlignment="1">
      <alignment horizontal="center"/>
    </xf>
    <xf numFmtId="0" fontId="1" fillId="0" borderId="0" xfId="0" applyFont="1"/>
    <xf numFmtId="165" fontId="1" fillId="0" borderId="0" xfId="0" applyNumberFormat="1" applyFont="1"/>
    <xf numFmtId="6" fontId="1" fillId="0" borderId="0" xfId="0" applyNumberFormat="1" applyFont="1"/>
    <xf numFmtId="164" fontId="1" fillId="0" borderId="0" xfId="0" applyNumberFormat="1" applyFont="1"/>
    <xf numFmtId="40" fontId="1" fillId="0" borderId="0" xfId="0" applyNumberFormat="1" applyFont="1"/>
    <xf numFmtId="0" fontId="1" fillId="0" borderId="0" xfId="0" quotePrefix="1" applyFont="1"/>
    <xf numFmtId="0" fontId="1" fillId="0" borderId="0" xfId="0" applyFont="1" applyAlignment="1">
      <alignment horizontal="center"/>
    </xf>
    <xf numFmtId="165" fontId="2" fillId="2" borderId="0" xfId="0" applyNumberFormat="1" applyFont="1" applyFill="1" applyAlignment="1">
      <alignment horizontal="center"/>
    </xf>
    <xf numFmtId="6" fontId="2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40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3" borderId="1" xfId="0" applyFont="1" applyFill="1" applyBorder="1"/>
    <xf numFmtId="165" fontId="2" fillId="3" borderId="1" xfId="0" applyNumberFormat="1" applyFont="1" applyFill="1" applyBorder="1"/>
    <xf numFmtId="6" fontId="2" fillId="3" borderId="1" xfId="0" applyNumberFormat="1" applyFont="1" applyFill="1" applyBorder="1"/>
    <xf numFmtId="164" fontId="2" fillId="3" borderId="1" xfId="0" applyNumberFormat="1" applyFont="1" applyFill="1" applyBorder="1"/>
    <xf numFmtId="40" fontId="2" fillId="3" borderId="1" xfId="0" applyNumberFormat="1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/>
    <xf numFmtId="165" fontId="2" fillId="3" borderId="0" xfId="0" applyNumberFormat="1" applyFont="1" applyFill="1"/>
    <xf numFmtId="6" fontId="2" fillId="3" borderId="0" xfId="0" applyNumberFormat="1" applyFont="1" applyFill="1"/>
    <xf numFmtId="164" fontId="2" fillId="3" borderId="0" xfId="0" applyNumberFormat="1" applyFont="1" applyFill="1"/>
    <xf numFmtId="40" fontId="2" fillId="3" borderId="0" xfId="0" applyNumberFormat="1" applyFont="1" applyFill="1"/>
    <xf numFmtId="0" fontId="2" fillId="3" borderId="0" xfId="0" applyFont="1" applyFill="1" applyAlignment="1">
      <alignment horizontal="right"/>
    </xf>
    <xf numFmtId="0" fontId="2" fillId="3" borderId="2" xfId="0" applyFont="1" applyFill="1" applyBorder="1"/>
    <xf numFmtId="165" fontId="2" fillId="3" borderId="2" xfId="0" applyNumberFormat="1" applyFont="1" applyFill="1" applyBorder="1"/>
    <xf numFmtId="6" fontId="2" fillId="3" borderId="2" xfId="0" applyNumberFormat="1" applyFont="1" applyFill="1" applyBorder="1"/>
    <xf numFmtId="164" fontId="2" fillId="3" borderId="2" xfId="0" applyNumberFormat="1" applyFont="1" applyFill="1" applyBorder="1"/>
    <xf numFmtId="40" fontId="2" fillId="3" borderId="2" xfId="0" applyNumberFormat="1" applyFont="1" applyFill="1" applyBorder="1"/>
    <xf numFmtId="0" fontId="2" fillId="3" borderId="2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6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166" fontId="5" fillId="0" borderId="6" xfId="0" applyNumberFormat="1" applyFont="1" applyBorder="1" applyAlignment="1">
      <alignment horizontal="center"/>
    </xf>
    <xf numFmtId="167" fontId="5" fillId="0" borderId="6" xfId="0" applyNumberFormat="1" applyFont="1" applyBorder="1" applyAlignment="1">
      <alignment horizontal="center"/>
    </xf>
    <xf numFmtId="6" fontId="1" fillId="4" borderId="3" xfId="0" applyNumberFormat="1" applyFont="1" applyFill="1" applyBorder="1"/>
    <xf numFmtId="6" fontId="1" fillId="4" borderId="5" xfId="0" applyNumberFormat="1" applyFont="1" applyFill="1" applyBorder="1"/>
    <xf numFmtId="6" fontId="2" fillId="4" borderId="3" xfId="0" applyNumberFormat="1" applyFont="1" applyFill="1" applyBorder="1"/>
    <xf numFmtId="6" fontId="2" fillId="4" borderId="5" xfId="0" applyNumberFormat="1" applyFont="1" applyFill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4" fillId="4" borderId="6" xfId="0" applyNumberFormat="1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4" borderId="5" xfId="0" applyFont="1" applyFill="1" applyBorder="1" applyAlignment="1">
      <alignment horizontal="center"/>
    </xf>
  </cellXfs>
  <cellStyles count="1">
    <cellStyle name="Normal" xfId="0" builtinId="0"/>
  </cellStyles>
  <dxfs count="10"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26</xdr:row>
      <xdr:rowOff>0</xdr:rowOff>
    </xdr:from>
    <xdr:to>
      <xdr:col>15</xdr:col>
      <xdr:colOff>0</xdr:colOff>
      <xdr:row>30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763500" y="4635500"/>
          <a:ext cx="3524250" cy="825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</a:t>
          </a:r>
          <a:r>
            <a:rPr lang="en-US" sz="1100" baseline="0"/>
            <a:t> quality sale indicates that rural commercial/industrial land sells for approximately $6,900 at 6 acres. To reflect this data, the acreage table has been decreased at a rate of 4% per step.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23</xdr:row>
      <xdr:rowOff>169334</xdr:rowOff>
    </xdr:from>
    <xdr:to>
      <xdr:col>16</xdr:col>
      <xdr:colOff>31750</xdr:colOff>
      <xdr:row>27</xdr:row>
      <xdr:rowOff>84667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2731750" y="4624917"/>
          <a:ext cx="3556000" cy="6773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Since no trends were</a:t>
          </a:r>
          <a:r>
            <a:rPr lang="en-US" sz="1100" baseline="0"/>
            <a:t> apparent in the Secondary land table, a 4% decrease per step will be used to match the Rural land table. 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18</xdr:row>
      <xdr:rowOff>0</xdr:rowOff>
    </xdr:from>
    <xdr:to>
      <xdr:col>15</xdr:col>
      <xdr:colOff>751417</xdr:colOff>
      <xdr:row>21</xdr:row>
      <xdr:rowOff>105833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2573000" y="3302000"/>
          <a:ext cx="3556000" cy="6773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Since no trends were</a:t>
          </a:r>
          <a:r>
            <a:rPr lang="en-US" sz="1100" baseline="0"/>
            <a:t> apparent in the Prime land table, a 4% decrease per step will be used to match the Rural land table.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42"/>
  <sheetViews>
    <sheetView tabSelected="1" zoomScale="90" zoomScaleNormal="90" workbookViewId="0">
      <selection activeCell="R9" sqref="R9"/>
    </sheetView>
  </sheetViews>
  <sheetFormatPr defaultColWidth="9.109375" defaultRowHeight="14.4" x14ac:dyDescent="0.3"/>
  <cols>
    <col min="1" max="1" width="21.109375" style="3" customWidth="1"/>
    <col min="2" max="2" width="9.88671875" style="3" bestFit="1" customWidth="1"/>
    <col min="3" max="3" width="11.33203125" style="3" customWidth="1"/>
    <col min="4" max="4" width="15.88671875" style="3" customWidth="1"/>
    <col min="5" max="5" width="9.44140625" style="4" bestFit="1" customWidth="1"/>
    <col min="6" max="6" width="11.5546875" style="5" bestFit="1" customWidth="1"/>
    <col min="7" max="7" width="5.77734375" style="3" bestFit="1" customWidth="1"/>
    <col min="8" max="8" width="11.5546875" style="5" bestFit="1" customWidth="1"/>
    <col min="9" max="9" width="14.21875" style="5" customWidth="1"/>
    <col min="10" max="10" width="12.6640625" style="6" bestFit="1" customWidth="1"/>
    <col min="11" max="11" width="13.21875" style="5" bestFit="1" customWidth="1"/>
    <col min="12" max="12" width="12.44140625" style="5" customWidth="1"/>
    <col min="13" max="13" width="14.33203125" style="5" bestFit="1" customWidth="1"/>
    <col min="14" max="14" width="10.77734375" style="7" customWidth="1"/>
    <col min="15" max="15" width="10.77734375" style="7" bestFit="1" customWidth="1"/>
    <col min="16" max="16" width="12" style="5" bestFit="1" customWidth="1"/>
    <col min="17" max="16384" width="9.109375" style="3"/>
  </cols>
  <sheetData>
    <row r="1" spans="1:36" ht="21.6" thickBot="1" x14ac:dyDescent="0.45">
      <c r="A1" s="48" t="s">
        <v>142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36" ht="15" thickBot="1" x14ac:dyDescent="0.35">
      <c r="A2" s="46" t="s">
        <v>143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36" x14ac:dyDescent="0.3">
      <c r="A3" s="2" t="s">
        <v>0</v>
      </c>
      <c r="B3" s="2" t="s">
        <v>125</v>
      </c>
      <c r="C3" s="2" t="s">
        <v>126</v>
      </c>
      <c r="D3" s="2" t="s">
        <v>1</v>
      </c>
      <c r="E3" s="10" t="s">
        <v>2</v>
      </c>
      <c r="F3" s="11" t="s">
        <v>3</v>
      </c>
      <c r="G3" s="2" t="s">
        <v>4</v>
      </c>
      <c r="H3" s="11" t="s">
        <v>6</v>
      </c>
      <c r="I3" s="11" t="s">
        <v>7</v>
      </c>
      <c r="J3" s="12" t="s">
        <v>8</v>
      </c>
      <c r="K3" s="11" t="s">
        <v>9</v>
      </c>
      <c r="L3" s="11" t="s">
        <v>10</v>
      </c>
      <c r="M3" s="11" t="s">
        <v>11</v>
      </c>
      <c r="N3" s="13" t="s">
        <v>12</v>
      </c>
      <c r="O3" s="13" t="s">
        <v>13</v>
      </c>
      <c r="P3" s="11" t="s">
        <v>14</v>
      </c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</row>
    <row r="4" spans="1:36" x14ac:dyDescent="0.3">
      <c r="A4" s="3" t="s">
        <v>19</v>
      </c>
      <c r="B4" s="9" t="s">
        <v>130</v>
      </c>
      <c r="C4" s="9" t="s">
        <v>127</v>
      </c>
      <c r="D4" s="3" t="s">
        <v>20</v>
      </c>
      <c r="E4" s="4">
        <v>45897</v>
      </c>
      <c r="F4" s="5">
        <v>39000</v>
      </c>
      <c r="G4" s="3" t="s">
        <v>21</v>
      </c>
      <c r="H4" s="5">
        <v>39000</v>
      </c>
      <c r="I4" s="5">
        <v>18800</v>
      </c>
      <c r="J4" s="6">
        <f t="shared" ref="J4:J14" si="0">I4/H4*100</f>
        <v>48.205128205128204</v>
      </c>
      <c r="K4" s="5">
        <v>38045</v>
      </c>
      <c r="L4" s="5">
        <f>H4-33767</f>
        <v>5233</v>
      </c>
      <c r="M4" s="5">
        <v>4278</v>
      </c>
      <c r="N4" s="7">
        <v>0.55000000000000004</v>
      </c>
      <c r="O4" s="7">
        <v>0.55000000000000004</v>
      </c>
      <c r="P4" s="5">
        <f t="shared" ref="P4:P14" si="1">L4/N4</f>
        <v>9514.545454545454</v>
      </c>
      <c r="AA4" s="9"/>
      <c r="AC4" s="9"/>
    </row>
    <row r="5" spans="1:36" x14ac:dyDescent="0.3">
      <c r="A5" s="3" t="s">
        <v>24</v>
      </c>
      <c r="B5" s="9" t="s">
        <v>130</v>
      </c>
      <c r="C5" s="9" t="s">
        <v>127</v>
      </c>
      <c r="D5" s="3" t="s">
        <v>25</v>
      </c>
      <c r="E5" s="4">
        <v>45758</v>
      </c>
      <c r="F5" s="5">
        <v>145000</v>
      </c>
      <c r="G5" s="3" t="s">
        <v>21</v>
      </c>
      <c r="H5" s="5">
        <v>145000</v>
      </c>
      <c r="I5" s="5">
        <v>55900</v>
      </c>
      <c r="J5" s="6">
        <f t="shared" si="0"/>
        <v>38.551724137931039</v>
      </c>
      <c r="K5" s="5">
        <v>155770</v>
      </c>
      <c r="L5" s="5">
        <f>H5-142517</f>
        <v>2483</v>
      </c>
      <c r="M5" s="5">
        <v>13253</v>
      </c>
      <c r="N5" s="7">
        <v>1.5</v>
      </c>
      <c r="O5" s="7">
        <v>1.5</v>
      </c>
      <c r="P5" s="5">
        <f t="shared" si="1"/>
        <v>1655.3333333333333</v>
      </c>
    </row>
    <row r="6" spans="1:36" x14ac:dyDescent="0.3">
      <c r="A6" s="3" t="s">
        <v>35</v>
      </c>
      <c r="B6" s="9" t="s">
        <v>130</v>
      </c>
      <c r="C6" s="9" t="s">
        <v>127</v>
      </c>
      <c r="D6" s="3" t="s">
        <v>36</v>
      </c>
      <c r="E6" s="4">
        <v>45131</v>
      </c>
      <c r="F6" s="5">
        <v>115900</v>
      </c>
      <c r="G6" s="3" t="s">
        <v>34</v>
      </c>
      <c r="H6" s="5">
        <v>115900</v>
      </c>
      <c r="I6" s="5">
        <v>39500</v>
      </c>
      <c r="J6" s="6">
        <f t="shared" si="0"/>
        <v>34.081104400345126</v>
      </c>
      <c r="K6" s="5">
        <v>107343</v>
      </c>
      <c r="L6" s="5">
        <f>H6-99903</f>
        <v>15997</v>
      </c>
      <c r="M6" s="5">
        <v>7440</v>
      </c>
      <c r="N6" s="7">
        <v>0.8</v>
      </c>
      <c r="O6" s="7">
        <v>0.8</v>
      </c>
      <c r="P6" s="5">
        <f t="shared" si="1"/>
        <v>19996.25</v>
      </c>
    </row>
    <row r="7" spans="1:36" x14ac:dyDescent="0.3">
      <c r="A7" s="3" t="s">
        <v>37</v>
      </c>
      <c r="B7" s="9" t="s">
        <v>130</v>
      </c>
      <c r="C7" s="9" t="s">
        <v>127</v>
      </c>
      <c r="D7" s="3" t="s">
        <v>38</v>
      </c>
      <c r="E7" s="4">
        <v>45345</v>
      </c>
      <c r="F7" s="5">
        <v>350000</v>
      </c>
      <c r="G7" s="3" t="s">
        <v>21</v>
      </c>
      <c r="H7" s="5">
        <v>350000</v>
      </c>
      <c r="I7" s="5">
        <v>130400</v>
      </c>
      <c r="J7" s="6">
        <f t="shared" si="0"/>
        <v>37.257142857142853</v>
      </c>
      <c r="K7" s="5">
        <v>328144</v>
      </c>
      <c r="L7" s="5">
        <f>H7-299359</f>
        <v>50641</v>
      </c>
      <c r="M7" s="5">
        <v>28785</v>
      </c>
      <c r="N7" s="7">
        <v>4</v>
      </c>
      <c r="O7" s="7">
        <v>4</v>
      </c>
      <c r="P7" s="5">
        <f t="shared" si="1"/>
        <v>12660.25</v>
      </c>
    </row>
    <row r="8" spans="1:36" x14ac:dyDescent="0.3">
      <c r="A8" s="3" t="s">
        <v>39</v>
      </c>
      <c r="B8" s="9" t="s">
        <v>130</v>
      </c>
      <c r="C8" s="9" t="s">
        <v>127</v>
      </c>
      <c r="D8" s="3" t="s">
        <v>40</v>
      </c>
      <c r="E8" s="4">
        <v>45022</v>
      </c>
      <c r="F8" s="5">
        <v>60000</v>
      </c>
      <c r="G8" s="3" t="s">
        <v>21</v>
      </c>
      <c r="H8" s="5">
        <v>60000</v>
      </c>
      <c r="I8" s="5">
        <v>12500</v>
      </c>
      <c r="J8" s="6">
        <f t="shared" si="0"/>
        <v>20.833333333333336</v>
      </c>
      <c r="K8" s="5">
        <v>57595</v>
      </c>
      <c r="L8" s="5">
        <f>H8-18619</f>
        <v>41381</v>
      </c>
      <c r="M8" s="5">
        <v>38976</v>
      </c>
      <c r="N8" s="7">
        <v>6</v>
      </c>
      <c r="O8" s="7">
        <v>6</v>
      </c>
      <c r="P8" s="5">
        <f t="shared" si="1"/>
        <v>6896.833333333333</v>
      </c>
    </row>
    <row r="9" spans="1:36" x14ac:dyDescent="0.3">
      <c r="A9" s="3" t="s">
        <v>46</v>
      </c>
      <c r="B9" s="9" t="s">
        <v>130</v>
      </c>
      <c r="C9" s="9" t="s">
        <v>127</v>
      </c>
      <c r="D9" s="3" t="s">
        <v>47</v>
      </c>
      <c r="E9" s="4">
        <v>45359</v>
      </c>
      <c r="F9" s="5">
        <v>32000</v>
      </c>
      <c r="G9" s="3" t="s">
        <v>21</v>
      </c>
      <c r="H9" s="5">
        <v>32000</v>
      </c>
      <c r="I9" s="5">
        <v>14900</v>
      </c>
      <c r="J9" s="6">
        <f t="shared" si="0"/>
        <v>46.5625</v>
      </c>
      <c r="K9" s="5">
        <v>39028</v>
      </c>
      <c r="L9" s="5">
        <f>H9-27230</f>
        <v>4770</v>
      </c>
      <c r="M9" s="5">
        <v>11798</v>
      </c>
      <c r="N9" s="7">
        <v>1.496</v>
      </c>
      <c r="O9" s="7">
        <v>1.496</v>
      </c>
      <c r="P9" s="5">
        <f t="shared" si="1"/>
        <v>3188.5026737967914</v>
      </c>
    </row>
    <row r="10" spans="1:36" x14ac:dyDescent="0.3">
      <c r="A10" s="3" t="s">
        <v>56</v>
      </c>
      <c r="B10" s="9" t="s">
        <v>131</v>
      </c>
      <c r="C10" s="9" t="s">
        <v>127</v>
      </c>
      <c r="D10" s="3" t="s">
        <v>57</v>
      </c>
      <c r="E10" s="4">
        <v>45518</v>
      </c>
      <c r="F10" s="5">
        <v>17500</v>
      </c>
      <c r="G10" s="3" t="s">
        <v>21</v>
      </c>
      <c r="H10" s="5">
        <v>17500</v>
      </c>
      <c r="I10" s="5">
        <v>0</v>
      </c>
      <c r="J10" s="6">
        <f t="shared" si="0"/>
        <v>0</v>
      </c>
      <c r="K10" s="5">
        <v>0</v>
      </c>
      <c r="L10" s="5">
        <f>H10-0</f>
        <v>17500</v>
      </c>
      <c r="M10" s="5">
        <v>0</v>
      </c>
      <c r="N10" s="7">
        <v>5</v>
      </c>
      <c r="O10" s="7">
        <v>5</v>
      </c>
      <c r="P10" s="5">
        <f t="shared" si="1"/>
        <v>3500</v>
      </c>
    </row>
    <row r="11" spans="1:36" x14ac:dyDescent="0.3">
      <c r="A11" s="3" t="s">
        <v>68</v>
      </c>
      <c r="B11" s="9" t="s">
        <v>130</v>
      </c>
      <c r="C11" s="9" t="s">
        <v>127</v>
      </c>
      <c r="D11" s="3" t="s">
        <v>69</v>
      </c>
      <c r="E11" s="4">
        <v>45079</v>
      </c>
      <c r="F11" s="5">
        <v>40000</v>
      </c>
      <c r="G11" s="3" t="s">
        <v>21</v>
      </c>
      <c r="H11" s="5">
        <v>40000</v>
      </c>
      <c r="I11" s="5">
        <v>19100</v>
      </c>
      <c r="J11" s="6">
        <f t="shared" si="0"/>
        <v>47.75</v>
      </c>
      <c r="K11" s="5">
        <v>24831</v>
      </c>
      <c r="L11" s="5">
        <f>H11-22013</f>
        <v>17987</v>
      </c>
      <c r="M11" s="5">
        <v>2818</v>
      </c>
      <c r="N11" s="7">
        <v>0.30299999999999999</v>
      </c>
      <c r="O11" s="7">
        <v>0.30299999999999999</v>
      </c>
      <c r="P11" s="5">
        <f t="shared" si="1"/>
        <v>59363.036303630368</v>
      </c>
    </row>
    <row r="12" spans="1:36" x14ac:dyDescent="0.3">
      <c r="A12" s="3" t="s">
        <v>71</v>
      </c>
      <c r="B12" s="9" t="s">
        <v>130</v>
      </c>
      <c r="C12" s="9" t="s">
        <v>127</v>
      </c>
      <c r="D12" s="3" t="s">
        <v>72</v>
      </c>
      <c r="E12" s="4">
        <v>45120</v>
      </c>
      <c r="F12" s="5">
        <v>47000</v>
      </c>
      <c r="G12" s="3" t="s">
        <v>21</v>
      </c>
      <c r="H12" s="5">
        <v>47000</v>
      </c>
      <c r="I12" s="5">
        <v>3300</v>
      </c>
      <c r="J12" s="6">
        <f t="shared" si="0"/>
        <v>7.0212765957446814</v>
      </c>
      <c r="K12" s="5">
        <v>42707</v>
      </c>
      <c r="L12" s="5">
        <f>H12-41498</f>
        <v>5502</v>
      </c>
      <c r="M12" s="5">
        <v>1209</v>
      </c>
      <c r="N12" s="7">
        <v>0.13</v>
      </c>
      <c r="O12" s="7">
        <v>0.13</v>
      </c>
      <c r="P12" s="5">
        <f t="shared" si="1"/>
        <v>42323.076923076922</v>
      </c>
    </row>
    <row r="13" spans="1:36" x14ac:dyDescent="0.3">
      <c r="A13" s="3" t="s">
        <v>78</v>
      </c>
      <c r="B13" s="9" t="s">
        <v>130</v>
      </c>
      <c r="C13" s="9" t="s">
        <v>127</v>
      </c>
      <c r="D13" s="3" t="s">
        <v>79</v>
      </c>
      <c r="E13" s="4">
        <v>45366</v>
      </c>
      <c r="F13" s="5">
        <v>95000</v>
      </c>
      <c r="G13" s="3" t="s">
        <v>21</v>
      </c>
      <c r="H13" s="5">
        <v>95000</v>
      </c>
      <c r="I13" s="5">
        <v>31200</v>
      </c>
      <c r="J13" s="6">
        <f t="shared" si="0"/>
        <v>32.842105263157897</v>
      </c>
      <c r="K13" s="5">
        <v>91229</v>
      </c>
      <c r="L13" s="5">
        <f>H13-87881</f>
        <v>7119</v>
      </c>
      <c r="M13" s="5">
        <v>3348</v>
      </c>
      <c r="N13" s="7">
        <v>0.36</v>
      </c>
      <c r="O13" s="7">
        <v>0.36</v>
      </c>
      <c r="P13" s="5">
        <f t="shared" si="1"/>
        <v>19775</v>
      </c>
    </row>
    <row r="14" spans="1:36" ht="15" thickBot="1" x14ac:dyDescent="0.35">
      <c r="A14" s="3" t="s">
        <v>83</v>
      </c>
      <c r="B14" s="9" t="s">
        <v>130</v>
      </c>
      <c r="C14" s="9" t="s">
        <v>127</v>
      </c>
      <c r="D14" s="3" t="s">
        <v>84</v>
      </c>
      <c r="E14" s="4">
        <v>45800</v>
      </c>
      <c r="F14" s="5">
        <v>339000</v>
      </c>
      <c r="G14" s="3" t="s">
        <v>21</v>
      </c>
      <c r="H14" s="5">
        <v>339000</v>
      </c>
      <c r="I14" s="5">
        <v>63655</v>
      </c>
      <c r="J14" s="6">
        <f t="shared" si="0"/>
        <v>18.777286135693217</v>
      </c>
      <c r="K14" s="5">
        <v>320964</v>
      </c>
      <c r="L14" s="5">
        <f>H14-296609</f>
        <v>42391</v>
      </c>
      <c r="M14" s="5">
        <v>24355</v>
      </c>
      <c r="N14" s="7">
        <v>3.2690000000000001</v>
      </c>
      <c r="O14" s="7">
        <v>3.2690000000000001</v>
      </c>
      <c r="P14" s="5">
        <f t="shared" si="1"/>
        <v>12967.574181706943</v>
      </c>
    </row>
    <row r="15" spans="1:36" ht="15" thickTop="1" x14ac:dyDescent="0.3">
      <c r="A15" s="15"/>
      <c r="B15" s="15"/>
      <c r="C15" s="15"/>
      <c r="D15" s="15"/>
      <c r="E15" s="16" t="s">
        <v>118</v>
      </c>
      <c r="F15" s="17">
        <f>+SUM(F4:F14)</f>
        <v>1280400</v>
      </c>
      <c r="G15" s="15"/>
      <c r="H15" s="17">
        <f>+SUM(H4:H14)</f>
        <v>1280400</v>
      </c>
      <c r="I15" s="17">
        <f>+SUM(I4:I14)</f>
        <v>389255</v>
      </c>
      <c r="J15" s="18"/>
      <c r="K15" s="17">
        <f>+SUM(K4:K14)</f>
        <v>1205656</v>
      </c>
      <c r="L15" s="17">
        <f>+SUM(L4:L14)</f>
        <v>211004</v>
      </c>
      <c r="M15" s="17">
        <f>+SUM(M4:M14)</f>
        <v>136260</v>
      </c>
      <c r="N15" s="19">
        <f>+SUM(N4:N14)</f>
        <v>23.408000000000001</v>
      </c>
      <c r="O15" s="19">
        <f>+SUM(O4:O14)</f>
        <v>23.408000000000001</v>
      </c>
      <c r="P15" s="17"/>
    </row>
    <row r="16" spans="1:36" x14ac:dyDescent="0.3">
      <c r="A16" s="21"/>
      <c r="B16" s="21"/>
      <c r="C16" s="21"/>
      <c r="D16" s="21"/>
      <c r="E16" s="22"/>
      <c r="F16" s="23"/>
      <c r="G16" s="21"/>
      <c r="H16" s="23"/>
      <c r="I16" s="23" t="s">
        <v>119</v>
      </c>
      <c r="J16" s="24">
        <f>I15/H15*100</f>
        <v>30.401046547953765</v>
      </c>
      <c r="K16" s="23"/>
      <c r="L16" s="23"/>
      <c r="M16" s="23" t="s">
        <v>120</v>
      </c>
      <c r="N16" s="25" t="s">
        <v>120</v>
      </c>
      <c r="O16" s="25"/>
      <c r="P16" s="23" t="s">
        <v>120</v>
      </c>
    </row>
    <row r="17" spans="1:16" x14ac:dyDescent="0.3">
      <c r="A17" s="27"/>
      <c r="B17" s="27"/>
      <c r="C17" s="27"/>
      <c r="D17" s="27"/>
      <c r="E17" s="28"/>
      <c r="F17" s="29"/>
      <c r="G17" s="27"/>
      <c r="H17" s="29"/>
      <c r="I17" s="29" t="s">
        <v>121</v>
      </c>
      <c r="J17" s="30">
        <f>STDEV(J4:J14)</f>
        <v>16.459081504888353</v>
      </c>
      <c r="K17" s="29"/>
      <c r="L17" s="29"/>
      <c r="M17" s="29" t="s">
        <v>122</v>
      </c>
      <c r="N17" s="31" t="s">
        <v>123</v>
      </c>
      <c r="O17" s="31">
        <f>L15/N15</f>
        <v>9014.1831852358155</v>
      </c>
      <c r="P17" s="29" t="s">
        <v>124</v>
      </c>
    </row>
    <row r="18" spans="1:16" ht="15" thickBot="1" x14ac:dyDescent="0.35"/>
    <row r="19" spans="1:16" ht="15" thickBot="1" x14ac:dyDescent="0.35">
      <c r="A19" s="43" t="s">
        <v>132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</row>
    <row r="20" spans="1:16" x14ac:dyDescent="0.3">
      <c r="A20" s="3" t="s">
        <v>48</v>
      </c>
      <c r="B20" s="9" t="s">
        <v>131</v>
      </c>
      <c r="C20" s="9" t="s">
        <v>127</v>
      </c>
      <c r="D20" s="3" t="s">
        <v>49</v>
      </c>
      <c r="E20" s="4">
        <v>45455</v>
      </c>
      <c r="F20" s="5">
        <v>80000</v>
      </c>
      <c r="G20" s="3" t="s">
        <v>21</v>
      </c>
      <c r="H20" s="5">
        <v>80000</v>
      </c>
      <c r="I20" s="5">
        <v>0</v>
      </c>
      <c r="J20" s="6">
        <f>I20/H20*100</f>
        <v>0</v>
      </c>
      <c r="K20" s="5">
        <v>77798</v>
      </c>
      <c r="L20" s="5">
        <f>H20-0</f>
        <v>80000</v>
      </c>
      <c r="M20" s="5">
        <v>77798</v>
      </c>
      <c r="N20" s="7">
        <v>13.82</v>
      </c>
      <c r="O20" s="7">
        <v>13.82</v>
      </c>
      <c r="P20" s="5">
        <f>L20/N20</f>
        <v>5788.7120115774242</v>
      </c>
    </row>
    <row r="21" spans="1:16" x14ac:dyDescent="0.3">
      <c r="A21" s="3" t="s">
        <v>66</v>
      </c>
      <c r="B21" s="9" t="s">
        <v>131</v>
      </c>
      <c r="C21" s="9" t="s">
        <v>127</v>
      </c>
      <c r="D21" s="3" t="s">
        <v>67</v>
      </c>
      <c r="E21" s="4">
        <v>45492</v>
      </c>
      <c r="F21" s="5">
        <v>30000</v>
      </c>
      <c r="G21" s="3" t="s">
        <v>21</v>
      </c>
      <c r="H21" s="5">
        <v>30000</v>
      </c>
      <c r="I21" s="5">
        <v>11100</v>
      </c>
      <c r="J21" s="6">
        <f>I21/H21*100</f>
        <v>37</v>
      </c>
      <c r="K21" s="5">
        <v>22143</v>
      </c>
      <c r="L21" s="5">
        <f>H21-0</f>
        <v>30000</v>
      </c>
      <c r="M21" s="5">
        <v>22143</v>
      </c>
      <c r="N21" s="7">
        <v>7.05</v>
      </c>
      <c r="O21" s="7">
        <v>7.05</v>
      </c>
      <c r="P21" s="5">
        <f>L21/N21</f>
        <v>4255.3191489361707</v>
      </c>
    </row>
    <row r="22" spans="1:16" ht="30" customHeight="1" x14ac:dyDescent="0.3">
      <c r="A22" s="3" t="s">
        <v>140</v>
      </c>
      <c r="B22" s="9" t="s">
        <v>130</v>
      </c>
      <c r="C22" s="9" t="s">
        <v>127</v>
      </c>
      <c r="D22" s="3" t="s">
        <v>77</v>
      </c>
      <c r="E22" s="4">
        <v>45148</v>
      </c>
      <c r="F22" s="5">
        <v>167500</v>
      </c>
      <c r="G22" s="3" t="s">
        <v>70</v>
      </c>
      <c r="H22" s="5">
        <v>167500</v>
      </c>
      <c r="I22" s="5">
        <v>31200</v>
      </c>
      <c r="J22" s="6">
        <f>I22/H22*100</f>
        <v>18.626865671641792</v>
      </c>
      <c r="K22" s="5">
        <v>151825</v>
      </c>
      <c r="L22" s="5">
        <f>H22-141145</f>
        <v>26355</v>
      </c>
      <c r="M22" s="5">
        <v>10680</v>
      </c>
      <c r="N22" s="7">
        <v>0.28000000000000003</v>
      </c>
      <c r="O22" s="7">
        <v>0.28000000000000003</v>
      </c>
      <c r="P22" s="5">
        <f>L22/N22</f>
        <v>94124.999999999985</v>
      </c>
    </row>
    <row r="23" spans="1:16" ht="30" customHeight="1" x14ac:dyDescent="0.3">
      <c r="A23" s="3" t="s">
        <v>141</v>
      </c>
      <c r="B23" s="9" t="s">
        <v>131</v>
      </c>
      <c r="C23" s="9" t="s">
        <v>127</v>
      </c>
      <c r="D23" s="3" t="s">
        <v>58</v>
      </c>
      <c r="E23" s="4">
        <v>45855</v>
      </c>
      <c r="F23" s="5">
        <v>90000</v>
      </c>
      <c r="G23" s="3" t="s">
        <v>21</v>
      </c>
      <c r="H23" s="5">
        <v>90000</v>
      </c>
      <c r="I23" s="5">
        <v>57000</v>
      </c>
      <c r="J23" s="6">
        <f>I23/H23*100</f>
        <v>63.333333333333329</v>
      </c>
      <c r="K23" s="5">
        <v>5560</v>
      </c>
      <c r="L23" s="5">
        <f>H23-0</f>
        <v>90000</v>
      </c>
      <c r="M23" s="5">
        <v>5560</v>
      </c>
      <c r="N23" s="7">
        <v>1.05</v>
      </c>
      <c r="O23" s="7">
        <v>0.37</v>
      </c>
      <c r="P23" s="5">
        <f>L23/N23</f>
        <v>85714.28571428571</v>
      </c>
    </row>
    <row r="24" spans="1:16" ht="15" thickBot="1" x14ac:dyDescent="0.35"/>
    <row r="25" spans="1:16" ht="15" thickBot="1" x14ac:dyDescent="0.35">
      <c r="H25" s="45" t="s">
        <v>133</v>
      </c>
      <c r="I25" s="45"/>
      <c r="J25" s="45"/>
      <c r="L25" s="41" t="s">
        <v>137</v>
      </c>
      <c r="M25" s="42">
        <v>9000</v>
      </c>
    </row>
    <row r="26" spans="1:16" x14ac:dyDescent="0.3">
      <c r="H26" s="34" t="s">
        <v>134</v>
      </c>
      <c r="I26" s="35" t="s">
        <v>135</v>
      </c>
      <c r="J26" s="34" t="s">
        <v>136</v>
      </c>
    </row>
    <row r="27" spans="1:16" x14ac:dyDescent="0.3">
      <c r="H27" s="36">
        <v>1</v>
      </c>
      <c r="I27" s="37">
        <v>9000</v>
      </c>
      <c r="J27" s="38">
        <f>H27*I27</f>
        <v>9000</v>
      </c>
    </row>
    <row r="28" spans="1:16" x14ac:dyDescent="0.3">
      <c r="H28" s="36">
        <v>1.5</v>
      </c>
      <c r="I28" s="37">
        <f>I27-(I27*0.04)</f>
        <v>8640</v>
      </c>
      <c r="J28" s="38">
        <f t="shared" ref="J28:J42" si="2">H28*I28</f>
        <v>12960</v>
      </c>
    </row>
    <row r="29" spans="1:16" x14ac:dyDescent="0.3">
      <c r="H29" s="36">
        <v>2</v>
      </c>
      <c r="I29" s="37">
        <f t="shared" ref="I29:I42" si="3">I28-(I28*0.04)</f>
        <v>8294.4</v>
      </c>
      <c r="J29" s="38">
        <f t="shared" si="2"/>
        <v>16588.8</v>
      </c>
    </row>
    <row r="30" spans="1:16" x14ac:dyDescent="0.3">
      <c r="H30" s="36">
        <v>2.5</v>
      </c>
      <c r="I30" s="37">
        <f t="shared" si="3"/>
        <v>7962.6239999999998</v>
      </c>
      <c r="J30" s="38">
        <f t="shared" si="2"/>
        <v>19906.559999999998</v>
      </c>
    </row>
    <row r="31" spans="1:16" x14ac:dyDescent="0.3">
      <c r="H31" s="36">
        <v>3</v>
      </c>
      <c r="I31" s="37">
        <f t="shared" si="3"/>
        <v>7644.1190399999996</v>
      </c>
      <c r="J31" s="38">
        <f t="shared" si="2"/>
        <v>22932.357120000001</v>
      </c>
    </row>
    <row r="32" spans="1:16" x14ac:dyDescent="0.3">
      <c r="H32" s="36">
        <v>4</v>
      </c>
      <c r="I32" s="37">
        <f t="shared" si="3"/>
        <v>7338.3542783999992</v>
      </c>
      <c r="J32" s="38">
        <f t="shared" si="2"/>
        <v>29353.417113599997</v>
      </c>
    </row>
    <row r="33" spans="8:10" x14ac:dyDescent="0.3">
      <c r="H33" s="36">
        <v>5</v>
      </c>
      <c r="I33" s="37">
        <f t="shared" si="3"/>
        <v>7044.8201072639995</v>
      </c>
      <c r="J33" s="38">
        <f t="shared" si="2"/>
        <v>35224.100536319995</v>
      </c>
    </row>
    <row r="34" spans="8:10" x14ac:dyDescent="0.3">
      <c r="H34" s="36">
        <v>7</v>
      </c>
      <c r="I34" s="37">
        <f t="shared" si="3"/>
        <v>6763.0273029734399</v>
      </c>
      <c r="J34" s="38">
        <f t="shared" si="2"/>
        <v>47341.191120814081</v>
      </c>
    </row>
    <row r="35" spans="8:10" x14ac:dyDescent="0.3">
      <c r="H35" s="36">
        <v>10</v>
      </c>
      <c r="I35" s="37">
        <f t="shared" si="3"/>
        <v>6492.5062108545026</v>
      </c>
      <c r="J35" s="38">
        <f t="shared" si="2"/>
        <v>64925.062108545026</v>
      </c>
    </row>
    <row r="36" spans="8:10" x14ac:dyDescent="0.3">
      <c r="H36" s="36">
        <v>15</v>
      </c>
      <c r="I36" s="37">
        <f t="shared" si="3"/>
        <v>6232.8059624203224</v>
      </c>
      <c r="J36" s="38">
        <f t="shared" si="2"/>
        <v>93492.089436304843</v>
      </c>
    </row>
    <row r="37" spans="8:10" x14ac:dyDescent="0.3">
      <c r="H37" s="36">
        <v>20</v>
      </c>
      <c r="I37" s="37">
        <f t="shared" si="3"/>
        <v>5983.4937239235096</v>
      </c>
      <c r="J37" s="38">
        <f t="shared" si="2"/>
        <v>119669.87447847018</v>
      </c>
    </row>
    <row r="38" spans="8:10" x14ac:dyDescent="0.3">
      <c r="H38" s="36">
        <v>25</v>
      </c>
      <c r="I38" s="37">
        <f t="shared" si="3"/>
        <v>5744.153974966569</v>
      </c>
      <c r="J38" s="38">
        <f t="shared" si="2"/>
        <v>143603.84937416422</v>
      </c>
    </row>
    <row r="39" spans="8:10" x14ac:dyDescent="0.3">
      <c r="H39" s="36">
        <v>30</v>
      </c>
      <c r="I39" s="37">
        <f t="shared" si="3"/>
        <v>5514.3878159679061</v>
      </c>
      <c r="J39" s="38">
        <f t="shared" si="2"/>
        <v>165431.63447903719</v>
      </c>
    </row>
    <row r="40" spans="8:10" x14ac:dyDescent="0.3">
      <c r="H40" s="36">
        <v>40</v>
      </c>
      <c r="I40" s="37">
        <f t="shared" si="3"/>
        <v>5293.8123033291895</v>
      </c>
      <c r="J40" s="38">
        <f t="shared" si="2"/>
        <v>211752.49213316757</v>
      </c>
    </row>
    <row r="41" spans="8:10" x14ac:dyDescent="0.3">
      <c r="H41" s="36">
        <v>50</v>
      </c>
      <c r="I41" s="37">
        <f t="shared" si="3"/>
        <v>5082.0598111960217</v>
      </c>
      <c r="J41" s="38">
        <f t="shared" si="2"/>
        <v>254102.99055980108</v>
      </c>
    </row>
    <row r="42" spans="8:10" x14ac:dyDescent="0.3">
      <c r="H42" s="36">
        <v>100</v>
      </c>
      <c r="I42" s="37">
        <f t="shared" si="3"/>
        <v>4878.7774187481809</v>
      </c>
      <c r="J42" s="38">
        <f t="shared" si="2"/>
        <v>487877.74187481811</v>
      </c>
    </row>
  </sheetData>
  <mergeCells count="4">
    <mergeCell ref="A19:P19"/>
    <mergeCell ref="H25:J25"/>
    <mergeCell ref="A2:P2"/>
    <mergeCell ref="A1:P1"/>
  </mergeCells>
  <conditionalFormatting sqref="A4:P14 A20:P23">
    <cfRule type="expression" dxfId="9" priority="9" stopIfTrue="1">
      <formula>MOD(ROW(),4)&gt;1</formula>
    </cfRule>
    <cfRule type="expression" dxfId="8" priority="10" stopIfTrue="1">
      <formula>MOD(ROW(),4)&lt;2</formula>
    </cfRule>
  </conditionalFormatting>
  <pageMargins left="0.25" right="0.25" top="0.75" bottom="0.75" header="0.3" footer="0.3"/>
  <pageSetup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40"/>
  <sheetViews>
    <sheetView zoomScale="90" zoomScaleNormal="90" workbookViewId="0">
      <selection activeCell="C29" sqref="C29"/>
    </sheetView>
  </sheetViews>
  <sheetFormatPr defaultColWidth="9.109375" defaultRowHeight="14.4" x14ac:dyDescent="0.3"/>
  <cols>
    <col min="1" max="1" width="21.44140625" style="3" customWidth="1"/>
    <col min="2" max="3" width="18.109375" style="3" customWidth="1"/>
    <col min="4" max="4" width="20.109375" style="3" bestFit="1" customWidth="1"/>
    <col min="5" max="5" width="9.33203125" style="4" bestFit="1" customWidth="1"/>
    <col min="6" max="6" width="11.88671875" style="5" bestFit="1" customWidth="1"/>
    <col min="7" max="7" width="5.5546875" style="3" bestFit="1" customWidth="1"/>
    <col min="8" max="8" width="30.109375" style="3" bestFit="1" customWidth="1"/>
    <col min="9" max="9" width="11.88671875" style="5" bestFit="1" customWidth="1"/>
    <col min="10" max="10" width="18" style="5" customWidth="1"/>
    <col min="11" max="11" width="12.88671875" style="6" bestFit="1" customWidth="1"/>
    <col min="12" max="12" width="13.44140625" style="5" bestFit="1" customWidth="1"/>
    <col min="13" max="13" width="13.33203125" style="5" bestFit="1" customWidth="1"/>
    <col min="14" max="14" width="14.44140625" style="5" bestFit="1" customWidth="1"/>
    <col min="15" max="15" width="14.33203125" style="7" bestFit="1" customWidth="1"/>
    <col min="16" max="16" width="10.88671875" style="7" bestFit="1" customWidth="1"/>
    <col min="17" max="17" width="12" style="5" bestFit="1" customWidth="1"/>
    <col min="18" max="18" width="8.6640625" style="33" bestFit="1" customWidth="1"/>
    <col min="19" max="19" width="10.5546875" style="3" bestFit="1" customWidth="1"/>
    <col min="20" max="20" width="19" style="3" customWidth="1"/>
    <col min="21" max="21" width="5.44140625" style="3" bestFit="1" customWidth="1"/>
    <col min="22" max="16384" width="9.109375" style="3"/>
  </cols>
  <sheetData>
    <row r="1" spans="1:41" ht="15" thickBot="1" x14ac:dyDescent="0.35">
      <c r="A1" s="46" t="s">
        <v>138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51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</row>
    <row r="2" spans="1:41" x14ac:dyDescent="0.3">
      <c r="A2" s="2" t="s">
        <v>0</v>
      </c>
      <c r="B2" s="2" t="s">
        <v>125</v>
      </c>
      <c r="C2" s="2" t="s">
        <v>126</v>
      </c>
      <c r="D2" s="2" t="s">
        <v>1</v>
      </c>
      <c r="E2" s="10" t="s">
        <v>2</v>
      </c>
      <c r="F2" s="11" t="s">
        <v>3</v>
      </c>
      <c r="G2" s="2" t="s">
        <v>4</v>
      </c>
      <c r="H2" s="2" t="s">
        <v>5</v>
      </c>
      <c r="I2" s="11" t="s">
        <v>6</v>
      </c>
      <c r="J2" s="11" t="s">
        <v>7</v>
      </c>
      <c r="K2" s="12" t="s">
        <v>8</v>
      </c>
      <c r="L2" s="11" t="s">
        <v>9</v>
      </c>
      <c r="M2" s="11" t="s">
        <v>10</v>
      </c>
      <c r="N2" s="11" t="s">
        <v>11</v>
      </c>
      <c r="O2" s="13" t="s">
        <v>12</v>
      </c>
      <c r="P2" s="13" t="s">
        <v>13</v>
      </c>
      <c r="Q2" s="11" t="s">
        <v>14</v>
      </c>
      <c r="R2" s="14" t="s">
        <v>15</v>
      </c>
      <c r="S2" s="2" t="s">
        <v>16</v>
      </c>
      <c r="T2" s="2" t="s">
        <v>17</v>
      </c>
      <c r="U2" s="2" t="s">
        <v>18</v>
      </c>
    </row>
    <row r="3" spans="1:41" x14ac:dyDescent="0.3">
      <c r="A3" s="3" t="s">
        <v>59</v>
      </c>
      <c r="B3" s="9" t="s">
        <v>130</v>
      </c>
      <c r="C3" s="9" t="s">
        <v>128</v>
      </c>
      <c r="D3" s="3" t="s">
        <v>60</v>
      </c>
      <c r="E3" s="4">
        <v>45744</v>
      </c>
      <c r="F3" s="5">
        <v>400000</v>
      </c>
      <c r="G3" s="3" t="s">
        <v>21</v>
      </c>
      <c r="H3" s="3" t="s">
        <v>22</v>
      </c>
      <c r="I3" s="5">
        <v>400000</v>
      </c>
      <c r="J3" s="5">
        <v>160400</v>
      </c>
      <c r="K3" s="6">
        <f t="shared" ref="K3:K10" si="0">J3/I3*100</f>
        <v>40.1</v>
      </c>
      <c r="L3" s="5">
        <v>409163</v>
      </c>
      <c r="M3" s="5">
        <f>I3-346445</f>
        <v>53555</v>
      </c>
      <c r="N3" s="5">
        <v>62718</v>
      </c>
      <c r="O3" s="7">
        <v>1.9350000000000001</v>
      </c>
      <c r="P3" s="7">
        <v>1.9350000000000001</v>
      </c>
      <c r="Q3" s="5">
        <f t="shared" ref="Q3:Q10" si="1">M3/O3</f>
        <v>27677.002583979327</v>
      </c>
      <c r="R3" s="1" t="s">
        <v>23</v>
      </c>
      <c r="S3" s="3" t="s">
        <v>61</v>
      </c>
      <c r="U3" s="8" t="s">
        <v>26</v>
      </c>
    </row>
    <row r="4" spans="1:41" x14ac:dyDescent="0.3">
      <c r="A4" s="3" t="s">
        <v>62</v>
      </c>
      <c r="B4" s="9" t="s">
        <v>130</v>
      </c>
      <c r="C4" s="9" t="s">
        <v>128</v>
      </c>
      <c r="D4" s="3" t="s">
        <v>63</v>
      </c>
      <c r="E4" s="4">
        <v>45727</v>
      </c>
      <c r="F4" s="5">
        <v>237000</v>
      </c>
      <c r="G4" s="3" t="s">
        <v>21</v>
      </c>
      <c r="H4" s="3" t="s">
        <v>22</v>
      </c>
      <c r="I4" s="5">
        <v>237000</v>
      </c>
      <c r="J4" s="5">
        <v>111100</v>
      </c>
      <c r="K4" s="6">
        <f t="shared" si="0"/>
        <v>46.877637130801688</v>
      </c>
      <c r="L4" s="5">
        <v>226755</v>
      </c>
      <c r="M4" s="5">
        <f>I4-211216</f>
        <v>25784</v>
      </c>
      <c r="N4" s="5">
        <v>15539</v>
      </c>
      <c r="O4" s="7">
        <v>0.41</v>
      </c>
      <c r="P4" s="7">
        <v>0.41</v>
      </c>
      <c r="Q4" s="5">
        <f t="shared" si="1"/>
        <v>62887.804878048781</v>
      </c>
      <c r="R4" s="1" t="s">
        <v>23</v>
      </c>
      <c r="U4" s="8" t="s">
        <v>26</v>
      </c>
    </row>
    <row r="5" spans="1:41" x14ac:dyDescent="0.3">
      <c r="A5" s="3" t="s">
        <v>64</v>
      </c>
      <c r="B5" s="9" t="s">
        <v>130</v>
      </c>
      <c r="C5" s="9" t="s">
        <v>128</v>
      </c>
      <c r="D5" s="3" t="s">
        <v>65</v>
      </c>
      <c r="E5" s="4">
        <v>45350</v>
      </c>
      <c r="F5" s="5">
        <v>160000</v>
      </c>
      <c r="G5" s="3" t="s">
        <v>21</v>
      </c>
      <c r="H5" s="3" t="s">
        <v>22</v>
      </c>
      <c r="I5" s="5">
        <v>160000</v>
      </c>
      <c r="J5" s="5">
        <v>63500</v>
      </c>
      <c r="K5" s="6">
        <f t="shared" si="0"/>
        <v>39.6875</v>
      </c>
      <c r="L5" s="5">
        <v>164571</v>
      </c>
      <c r="M5" s="5">
        <f>I5-147175</f>
        <v>12825</v>
      </c>
      <c r="N5" s="5">
        <v>17396</v>
      </c>
      <c r="O5" s="7">
        <v>0.45900000000000002</v>
      </c>
      <c r="P5" s="7">
        <v>0.45900000000000002</v>
      </c>
      <c r="Q5" s="5">
        <f t="shared" si="1"/>
        <v>27941.176470588234</v>
      </c>
      <c r="R5" s="1" t="s">
        <v>23</v>
      </c>
      <c r="U5" s="8" t="s">
        <v>26</v>
      </c>
    </row>
    <row r="6" spans="1:41" x14ac:dyDescent="0.3">
      <c r="A6" s="3" t="s">
        <v>73</v>
      </c>
      <c r="B6" s="9" t="s">
        <v>130</v>
      </c>
      <c r="C6" s="9" t="s">
        <v>128</v>
      </c>
      <c r="D6" s="3" t="s">
        <v>74</v>
      </c>
      <c r="E6" s="4">
        <v>45596</v>
      </c>
      <c r="F6" s="5">
        <v>40000</v>
      </c>
      <c r="G6" s="3" t="s">
        <v>21</v>
      </c>
      <c r="H6" s="3" t="s">
        <v>75</v>
      </c>
      <c r="I6" s="5">
        <v>40000</v>
      </c>
      <c r="J6" s="5">
        <v>18600</v>
      </c>
      <c r="K6" s="6">
        <f t="shared" si="0"/>
        <v>46.5</v>
      </c>
      <c r="L6" s="5">
        <v>37016</v>
      </c>
      <c r="M6" s="5">
        <f>I6-31222</f>
        <v>8778</v>
      </c>
      <c r="N6" s="5">
        <v>5794</v>
      </c>
      <c r="O6" s="7">
        <v>0.15</v>
      </c>
      <c r="P6" s="7">
        <v>0.11</v>
      </c>
      <c r="Q6" s="5">
        <f t="shared" si="1"/>
        <v>58520</v>
      </c>
      <c r="R6" s="1" t="s">
        <v>23</v>
      </c>
      <c r="T6" s="3" t="s">
        <v>76</v>
      </c>
      <c r="U6" s="8" t="s">
        <v>26</v>
      </c>
    </row>
    <row r="7" spans="1:41" ht="15.75" customHeight="1" x14ac:dyDescent="0.3">
      <c r="A7" s="3" t="s">
        <v>80</v>
      </c>
      <c r="B7" s="9" t="s">
        <v>130</v>
      </c>
      <c r="C7" s="9" t="s">
        <v>128</v>
      </c>
      <c r="D7" s="3" t="s">
        <v>81</v>
      </c>
      <c r="E7" s="4">
        <v>45191</v>
      </c>
      <c r="F7" s="5">
        <v>340000</v>
      </c>
      <c r="G7" s="3" t="s">
        <v>21</v>
      </c>
      <c r="H7" s="3" t="s">
        <v>22</v>
      </c>
      <c r="I7" s="5">
        <v>340000</v>
      </c>
      <c r="J7" s="5">
        <v>116300</v>
      </c>
      <c r="K7" s="6">
        <f t="shared" si="0"/>
        <v>34.205882352941174</v>
      </c>
      <c r="L7" s="5">
        <v>292653</v>
      </c>
      <c r="M7" s="5">
        <f>I7-226347</f>
        <v>113653</v>
      </c>
      <c r="N7" s="5">
        <v>66306</v>
      </c>
      <c r="O7" s="7">
        <v>1.81</v>
      </c>
      <c r="P7" s="7">
        <v>1.81</v>
      </c>
      <c r="Q7" s="5">
        <f t="shared" si="1"/>
        <v>62791.71270718232</v>
      </c>
      <c r="R7" s="1" t="s">
        <v>23</v>
      </c>
      <c r="S7" s="3" t="s">
        <v>82</v>
      </c>
      <c r="U7" s="8" t="s">
        <v>26</v>
      </c>
    </row>
    <row r="8" spans="1:41" x14ac:dyDescent="0.3">
      <c r="A8" s="3" t="s">
        <v>92</v>
      </c>
      <c r="B8" s="9" t="s">
        <v>130</v>
      </c>
      <c r="C8" s="9" t="s">
        <v>128</v>
      </c>
      <c r="D8" s="3" t="s">
        <v>93</v>
      </c>
      <c r="E8" s="4">
        <v>45118</v>
      </c>
      <c r="F8" s="5">
        <v>245000</v>
      </c>
      <c r="G8" s="3" t="s">
        <v>88</v>
      </c>
      <c r="H8" s="3" t="s">
        <v>22</v>
      </c>
      <c r="I8" s="5">
        <v>245000</v>
      </c>
      <c r="J8" s="5">
        <v>0</v>
      </c>
      <c r="K8" s="6">
        <f t="shared" si="0"/>
        <v>0</v>
      </c>
      <c r="L8" s="5">
        <v>266963</v>
      </c>
      <c r="M8" s="5">
        <f>I8-214100</f>
        <v>30900</v>
      </c>
      <c r="N8" s="5">
        <v>52863</v>
      </c>
      <c r="O8" s="7">
        <v>1.42</v>
      </c>
      <c r="P8" s="7">
        <v>1.42</v>
      </c>
      <c r="Q8" s="5">
        <f t="shared" si="1"/>
        <v>21760.563380281692</v>
      </c>
      <c r="R8" s="1" t="s">
        <v>23</v>
      </c>
      <c r="U8" s="8" t="s">
        <v>26</v>
      </c>
    </row>
    <row r="9" spans="1:41" x14ac:dyDescent="0.3">
      <c r="A9" s="3" t="s">
        <v>106</v>
      </c>
      <c r="B9" s="9" t="s">
        <v>130</v>
      </c>
      <c r="C9" s="9" t="s">
        <v>128</v>
      </c>
      <c r="D9" s="3" t="s">
        <v>107</v>
      </c>
      <c r="E9" s="4">
        <v>45358</v>
      </c>
      <c r="F9" s="5">
        <v>112000</v>
      </c>
      <c r="G9" s="3" t="s">
        <v>88</v>
      </c>
      <c r="H9" s="3" t="s">
        <v>22</v>
      </c>
      <c r="I9" s="5">
        <v>112000</v>
      </c>
      <c r="J9" s="5">
        <v>46100</v>
      </c>
      <c r="K9" s="6">
        <f t="shared" si="0"/>
        <v>41.160714285714285</v>
      </c>
      <c r="L9" s="5">
        <v>111563</v>
      </c>
      <c r="M9" s="5">
        <f>I9-106636</f>
        <v>5364</v>
      </c>
      <c r="N9" s="5">
        <v>4927</v>
      </c>
      <c r="O9" s="7">
        <v>0.13</v>
      </c>
      <c r="P9" s="7">
        <v>0.13</v>
      </c>
      <c r="Q9" s="5">
        <f t="shared" si="1"/>
        <v>41261.538461538461</v>
      </c>
      <c r="R9" s="1" t="s">
        <v>23</v>
      </c>
      <c r="S9" s="3" t="s">
        <v>108</v>
      </c>
      <c r="U9" s="8" t="s">
        <v>26</v>
      </c>
    </row>
    <row r="10" spans="1:41" ht="15" thickBot="1" x14ac:dyDescent="0.35">
      <c r="A10" s="3" t="s">
        <v>112</v>
      </c>
      <c r="B10" s="9" t="s">
        <v>130</v>
      </c>
      <c r="C10" s="9" t="s">
        <v>128</v>
      </c>
      <c r="D10" s="3" t="s">
        <v>113</v>
      </c>
      <c r="E10" s="4">
        <v>45303</v>
      </c>
      <c r="F10" s="5">
        <v>217500</v>
      </c>
      <c r="G10" s="3" t="s">
        <v>21</v>
      </c>
      <c r="H10" s="3" t="s">
        <v>22</v>
      </c>
      <c r="I10" s="5">
        <v>217500</v>
      </c>
      <c r="J10" s="5">
        <v>67300</v>
      </c>
      <c r="K10" s="6">
        <f t="shared" si="0"/>
        <v>30.942528735632184</v>
      </c>
      <c r="L10" s="5">
        <v>207771</v>
      </c>
      <c r="M10" s="5">
        <f>I10-200001</f>
        <v>17499</v>
      </c>
      <c r="N10" s="5">
        <v>7770</v>
      </c>
      <c r="O10" s="7">
        <v>0.20499999999999999</v>
      </c>
      <c r="P10" s="7">
        <v>0.20499999999999999</v>
      </c>
      <c r="Q10" s="5">
        <f t="shared" si="1"/>
        <v>85360.975609756104</v>
      </c>
      <c r="R10" s="1" t="s">
        <v>23</v>
      </c>
      <c r="S10" s="3" t="s">
        <v>114</v>
      </c>
      <c r="U10" s="8" t="s">
        <v>26</v>
      </c>
    </row>
    <row r="11" spans="1:41" ht="15" thickTop="1" x14ac:dyDescent="0.3">
      <c r="A11" s="15"/>
      <c r="B11" s="15"/>
      <c r="C11" s="15"/>
      <c r="D11" s="15"/>
      <c r="E11" s="16" t="s">
        <v>118</v>
      </c>
      <c r="F11" s="17">
        <f>+SUM(F3:F10)</f>
        <v>1751500</v>
      </c>
      <c r="G11" s="15"/>
      <c r="H11" s="15"/>
      <c r="I11" s="17">
        <f>+SUM(I3:I10)</f>
        <v>1751500</v>
      </c>
      <c r="J11" s="17">
        <f>+SUM(J3:J10)</f>
        <v>583300</v>
      </c>
      <c r="K11" s="18"/>
      <c r="L11" s="17">
        <f>+SUM(L3:L10)</f>
        <v>1716455</v>
      </c>
      <c r="M11" s="17">
        <f>+SUM(M3:M10)</f>
        <v>268358</v>
      </c>
      <c r="N11" s="17">
        <f>+SUM(N3:N10)</f>
        <v>233313</v>
      </c>
      <c r="O11" s="19">
        <f>+SUM(O3:O10)</f>
        <v>6.5190000000000001</v>
      </c>
      <c r="P11" s="19">
        <f>+SUM(P3:P10)</f>
        <v>6.4790000000000001</v>
      </c>
      <c r="Q11" s="17"/>
      <c r="R11" s="20"/>
      <c r="S11" s="15"/>
      <c r="T11" s="15"/>
      <c r="U11" s="15"/>
    </row>
    <row r="12" spans="1:41" x14ac:dyDescent="0.3">
      <c r="A12" s="21"/>
      <c r="B12" s="21"/>
      <c r="C12" s="21"/>
      <c r="D12" s="21"/>
      <c r="E12" s="22"/>
      <c r="F12" s="23"/>
      <c r="G12" s="21"/>
      <c r="H12" s="21"/>
      <c r="I12" s="23"/>
      <c r="J12" s="23" t="s">
        <v>119</v>
      </c>
      <c r="K12" s="24">
        <f>J11/I11*100</f>
        <v>33.302883242934627</v>
      </c>
      <c r="L12" s="23"/>
      <c r="M12" s="23"/>
      <c r="N12" s="23" t="s">
        <v>120</v>
      </c>
      <c r="O12" s="25" t="s">
        <v>120</v>
      </c>
      <c r="P12" s="25"/>
      <c r="Q12" s="23" t="s">
        <v>120</v>
      </c>
      <c r="R12" s="26"/>
      <c r="S12" s="21"/>
      <c r="T12" s="21"/>
      <c r="U12" s="21"/>
    </row>
    <row r="13" spans="1:41" x14ac:dyDescent="0.3">
      <c r="A13" s="27"/>
      <c r="B13" s="27"/>
      <c r="C13" s="27"/>
      <c r="D13" s="27"/>
      <c r="E13" s="28"/>
      <c r="F13" s="29"/>
      <c r="G13" s="27"/>
      <c r="H13" s="27"/>
      <c r="I13" s="29"/>
      <c r="J13" s="29" t="s">
        <v>121</v>
      </c>
      <c r="K13" s="30">
        <f>STDEV(K3:K10)</f>
        <v>15.124835141866818</v>
      </c>
      <c r="L13" s="29"/>
      <c r="M13" s="29"/>
      <c r="N13" s="29" t="s">
        <v>122</v>
      </c>
      <c r="O13" s="31" t="s">
        <v>123</v>
      </c>
      <c r="P13" s="31">
        <f>M11/O11</f>
        <v>41165.516183463718</v>
      </c>
      <c r="Q13" s="29" t="s">
        <v>124</v>
      </c>
      <c r="R13" s="32"/>
      <c r="S13" s="27"/>
      <c r="T13" s="27"/>
      <c r="U13" s="27"/>
    </row>
    <row r="14" spans="1:41" ht="15" thickBot="1" x14ac:dyDescent="0.35"/>
    <row r="15" spans="1:41" ht="15" thickBot="1" x14ac:dyDescent="0.35">
      <c r="A15" s="43" t="s">
        <v>132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50"/>
    </row>
    <row r="16" spans="1:41" x14ac:dyDescent="0.3">
      <c r="A16" s="3" t="s">
        <v>27</v>
      </c>
      <c r="B16" s="9" t="s">
        <v>130</v>
      </c>
      <c r="C16" s="9" t="s">
        <v>128</v>
      </c>
      <c r="D16" s="3" t="s">
        <v>28</v>
      </c>
      <c r="E16" s="4">
        <v>45252</v>
      </c>
      <c r="F16" s="5">
        <v>700000</v>
      </c>
      <c r="G16" s="3" t="s">
        <v>21</v>
      </c>
      <c r="H16" s="3" t="s">
        <v>22</v>
      </c>
      <c r="I16" s="5">
        <v>700000</v>
      </c>
      <c r="J16" s="5">
        <v>107050</v>
      </c>
      <c r="K16" s="6">
        <f t="shared" ref="K16:K21" si="2">J16/I16*100</f>
        <v>15.292857142857144</v>
      </c>
      <c r="L16" s="5">
        <v>366497</v>
      </c>
      <c r="M16" s="5">
        <f>I16-353611</f>
        <v>346389</v>
      </c>
      <c r="N16" s="5">
        <v>12886</v>
      </c>
      <c r="O16" s="7">
        <v>0.34</v>
      </c>
      <c r="P16" s="7">
        <v>0.34</v>
      </c>
      <c r="Q16" s="5">
        <f t="shared" ref="Q16:Q21" si="3">M16/O16</f>
        <v>1018791.1764705882</v>
      </c>
      <c r="R16" s="1" t="s">
        <v>23</v>
      </c>
      <c r="S16" s="3" t="s">
        <v>29</v>
      </c>
      <c r="T16" s="3" t="s">
        <v>30</v>
      </c>
      <c r="U16" s="8" t="s">
        <v>26</v>
      </c>
    </row>
    <row r="17" spans="1:21" x14ac:dyDescent="0.3">
      <c r="A17" s="3" t="s">
        <v>31</v>
      </c>
      <c r="B17" s="9" t="s">
        <v>130</v>
      </c>
      <c r="C17" s="9" t="s">
        <v>128</v>
      </c>
      <c r="D17" s="3" t="s">
        <v>32</v>
      </c>
      <c r="E17" s="4">
        <v>45489</v>
      </c>
      <c r="F17" s="5">
        <v>130000</v>
      </c>
      <c r="G17" s="3" t="s">
        <v>21</v>
      </c>
      <c r="H17" s="3" t="s">
        <v>22</v>
      </c>
      <c r="I17" s="5">
        <v>130000</v>
      </c>
      <c r="J17" s="5">
        <v>64250</v>
      </c>
      <c r="K17" s="6">
        <f t="shared" si="2"/>
        <v>49.423076923076927</v>
      </c>
      <c r="L17" s="5">
        <v>141216</v>
      </c>
      <c r="M17" s="5">
        <f>I17-130604</f>
        <v>-604</v>
      </c>
      <c r="N17" s="5">
        <v>10612</v>
      </c>
      <c r="O17" s="7">
        <v>0.28000000000000003</v>
      </c>
      <c r="P17" s="7">
        <v>0.28000000000000003</v>
      </c>
      <c r="Q17" s="5">
        <f t="shared" si="3"/>
        <v>-2157.1428571428569</v>
      </c>
      <c r="R17" s="1" t="s">
        <v>23</v>
      </c>
      <c r="S17" s="3" t="s">
        <v>33</v>
      </c>
      <c r="U17" s="8" t="s">
        <v>26</v>
      </c>
    </row>
    <row r="18" spans="1:21" x14ac:dyDescent="0.3">
      <c r="A18" s="3" t="s">
        <v>53</v>
      </c>
      <c r="B18" s="9" t="s">
        <v>130</v>
      </c>
      <c r="C18" s="9" t="s">
        <v>128</v>
      </c>
      <c r="D18" s="3" t="s">
        <v>54</v>
      </c>
      <c r="E18" s="4">
        <v>45203</v>
      </c>
      <c r="F18" s="5">
        <v>26000</v>
      </c>
      <c r="G18" s="3" t="s">
        <v>21</v>
      </c>
      <c r="H18" s="3" t="s">
        <v>22</v>
      </c>
      <c r="I18" s="5">
        <v>26000</v>
      </c>
      <c r="J18" s="5">
        <v>32400</v>
      </c>
      <c r="K18" s="6">
        <f t="shared" si="2"/>
        <v>124.61538461538461</v>
      </c>
      <c r="L18" s="5">
        <v>71514</v>
      </c>
      <c r="M18" s="5">
        <f>I18-62039</f>
        <v>-36039</v>
      </c>
      <c r="N18" s="5">
        <v>9475</v>
      </c>
      <c r="O18" s="7">
        <v>0.25</v>
      </c>
      <c r="P18" s="7">
        <v>0.25</v>
      </c>
      <c r="Q18" s="5">
        <f t="shared" si="3"/>
        <v>-144156</v>
      </c>
      <c r="R18" s="1" t="s">
        <v>23</v>
      </c>
      <c r="S18" s="3" t="s">
        <v>55</v>
      </c>
      <c r="U18" s="8" t="s">
        <v>26</v>
      </c>
    </row>
    <row r="19" spans="1:21" x14ac:dyDescent="0.3">
      <c r="A19" s="3" t="s">
        <v>100</v>
      </c>
      <c r="B19" s="9" t="s">
        <v>130</v>
      </c>
      <c r="C19" s="9" t="s">
        <v>128</v>
      </c>
      <c r="D19" s="3" t="s">
        <v>101</v>
      </c>
      <c r="E19" s="4">
        <v>45393</v>
      </c>
      <c r="F19" s="5">
        <v>107500</v>
      </c>
      <c r="G19" s="3" t="s">
        <v>21</v>
      </c>
      <c r="H19" s="3" t="s">
        <v>22</v>
      </c>
      <c r="I19" s="5">
        <v>107500</v>
      </c>
      <c r="J19" s="5">
        <v>51200</v>
      </c>
      <c r="K19" s="6">
        <f t="shared" si="2"/>
        <v>47.627906976744185</v>
      </c>
      <c r="L19" s="5">
        <v>145039</v>
      </c>
      <c r="M19" s="5">
        <f>I19-141628</f>
        <v>-34128</v>
      </c>
      <c r="N19" s="5">
        <v>3411</v>
      </c>
      <c r="O19" s="7">
        <v>0.09</v>
      </c>
      <c r="P19" s="7">
        <v>0.09</v>
      </c>
      <c r="Q19" s="5">
        <f t="shared" si="3"/>
        <v>-379200</v>
      </c>
      <c r="R19" s="1" t="s">
        <v>23</v>
      </c>
      <c r="S19" s="3" t="s">
        <v>102</v>
      </c>
      <c r="U19" s="8" t="s">
        <v>26</v>
      </c>
    </row>
    <row r="20" spans="1:21" x14ac:dyDescent="0.3">
      <c r="A20" s="3" t="s">
        <v>103</v>
      </c>
      <c r="B20" s="9" t="s">
        <v>130</v>
      </c>
      <c r="C20" s="9" t="s">
        <v>128</v>
      </c>
      <c r="D20" s="3" t="s">
        <v>104</v>
      </c>
      <c r="E20" s="4">
        <v>45086</v>
      </c>
      <c r="F20" s="5">
        <v>130000</v>
      </c>
      <c r="G20" s="3" t="s">
        <v>21</v>
      </c>
      <c r="H20" s="3" t="s">
        <v>22</v>
      </c>
      <c r="I20" s="5">
        <v>130000</v>
      </c>
      <c r="J20" s="5">
        <v>31100</v>
      </c>
      <c r="K20" s="6">
        <f t="shared" si="2"/>
        <v>23.923076923076923</v>
      </c>
      <c r="L20" s="5">
        <v>101512</v>
      </c>
      <c r="M20" s="5">
        <f>I20-95069</f>
        <v>34931</v>
      </c>
      <c r="N20" s="5">
        <v>6443</v>
      </c>
      <c r="O20" s="7">
        <v>0.17</v>
      </c>
      <c r="P20" s="7">
        <v>0.17</v>
      </c>
      <c r="Q20" s="5">
        <f t="shared" si="3"/>
        <v>205476.47058823527</v>
      </c>
      <c r="R20" s="1" t="s">
        <v>23</v>
      </c>
      <c r="S20" s="3" t="s">
        <v>105</v>
      </c>
      <c r="U20" s="8" t="s">
        <v>26</v>
      </c>
    </row>
    <row r="21" spans="1:21" x14ac:dyDescent="0.3">
      <c r="A21" s="3" t="s">
        <v>41</v>
      </c>
      <c r="B21" s="9" t="s">
        <v>130</v>
      </c>
      <c r="C21" s="9" t="s">
        <v>128</v>
      </c>
      <c r="D21" s="3" t="s">
        <v>42</v>
      </c>
      <c r="E21" s="4">
        <v>45930</v>
      </c>
      <c r="F21" s="5">
        <v>673252</v>
      </c>
      <c r="G21" s="3" t="s">
        <v>21</v>
      </c>
      <c r="H21" s="3" t="s">
        <v>22</v>
      </c>
      <c r="I21" s="5">
        <v>673252</v>
      </c>
      <c r="J21" s="5">
        <v>260000</v>
      </c>
      <c r="K21" s="6">
        <f t="shared" si="2"/>
        <v>38.618526198214042</v>
      </c>
      <c r="L21" s="5">
        <v>521773</v>
      </c>
      <c r="M21" s="5">
        <f>I21-420981</f>
        <v>252271</v>
      </c>
      <c r="N21" s="5">
        <v>100792</v>
      </c>
      <c r="O21" s="7">
        <v>3.17</v>
      </c>
      <c r="P21" s="7">
        <v>3.17</v>
      </c>
      <c r="Q21" s="5">
        <f t="shared" si="3"/>
        <v>79580.757097791793</v>
      </c>
      <c r="R21" s="1" t="s">
        <v>23</v>
      </c>
      <c r="S21" s="3" t="s">
        <v>43</v>
      </c>
      <c r="U21" s="8" t="s">
        <v>26</v>
      </c>
    </row>
    <row r="22" spans="1:21" ht="15" thickBot="1" x14ac:dyDescent="0.35"/>
    <row r="23" spans="1:21" ht="15" thickBot="1" x14ac:dyDescent="0.35">
      <c r="I23" s="45" t="s">
        <v>133</v>
      </c>
      <c r="J23" s="45"/>
      <c r="K23" s="45"/>
      <c r="M23" s="41" t="s">
        <v>137</v>
      </c>
      <c r="N23" s="42">
        <v>41200</v>
      </c>
    </row>
    <row r="24" spans="1:21" x14ac:dyDescent="0.3">
      <c r="I24" s="34" t="s">
        <v>134</v>
      </c>
      <c r="J24" s="35" t="s">
        <v>135</v>
      </c>
      <c r="K24" s="34" t="s">
        <v>136</v>
      </c>
    </row>
    <row r="25" spans="1:21" x14ac:dyDescent="0.3">
      <c r="I25" s="36">
        <v>1</v>
      </c>
      <c r="J25" s="37">
        <v>41200</v>
      </c>
      <c r="K25" s="38">
        <f>I25*J25</f>
        <v>41200</v>
      </c>
    </row>
    <row r="26" spans="1:21" x14ac:dyDescent="0.3">
      <c r="I26" s="36">
        <v>1.5</v>
      </c>
      <c r="J26" s="37">
        <f>J25-(J25*0.04)</f>
        <v>39552</v>
      </c>
      <c r="K26" s="38">
        <f t="shared" ref="K26:K40" si="4">I26*J26</f>
        <v>59328</v>
      </c>
    </row>
    <row r="27" spans="1:21" x14ac:dyDescent="0.3">
      <c r="I27" s="36">
        <v>2</v>
      </c>
      <c r="J27" s="37">
        <f t="shared" ref="J27:J40" si="5">J26-(J26*0.04)</f>
        <v>37969.919999999998</v>
      </c>
      <c r="K27" s="38">
        <f t="shared" si="4"/>
        <v>75939.839999999997</v>
      </c>
    </row>
    <row r="28" spans="1:21" x14ac:dyDescent="0.3">
      <c r="I28" s="36">
        <v>2.5</v>
      </c>
      <c r="J28" s="37">
        <f t="shared" si="5"/>
        <v>36451.123200000002</v>
      </c>
      <c r="K28" s="38">
        <f t="shared" si="4"/>
        <v>91127.808000000005</v>
      </c>
    </row>
    <row r="29" spans="1:21" x14ac:dyDescent="0.3">
      <c r="I29" s="36">
        <v>3</v>
      </c>
      <c r="J29" s="37">
        <f t="shared" si="5"/>
        <v>34993.078271999999</v>
      </c>
      <c r="K29" s="38">
        <f t="shared" si="4"/>
        <v>104979.234816</v>
      </c>
    </row>
    <row r="30" spans="1:21" x14ac:dyDescent="0.3">
      <c r="I30" s="36">
        <v>4</v>
      </c>
      <c r="J30" s="37">
        <f t="shared" si="5"/>
        <v>33593.355141120002</v>
      </c>
      <c r="K30" s="38">
        <f t="shared" si="4"/>
        <v>134373.42056448001</v>
      </c>
    </row>
    <row r="31" spans="1:21" x14ac:dyDescent="0.3">
      <c r="I31" s="36">
        <v>5</v>
      </c>
      <c r="J31" s="37">
        <f t="shared" si="5"/>
        <v>32249.620935475203</v>
      </c>
      <c r="K31" s="38">
        <f t="shared" si="4"/>
        <v>161248.10467737602</v>
      </c>
    </row>
    <row r="32" spans="1:21" x14ac:dyDescent="0.3">
      <c r="I32" s="36">
        <v>7</v>
      </c>
      <c r="J32" s="37">
        <f t="shared" si="5"/>
        <v>30959.636098056195</v>
      </c>
      <c r="K32" s="38">
        <f t="shared" si="4"/>
        <v>216717.45268639337</v>
      </c>
    </row>
    <row r="33" spans="9:11" x14ac:dyDescent="0.3">
      <c r="I33" s="36">
        <v>10</v>
      </c>
      <c r="J33" s="37">
        <f t="shared" si="5"/>
        <v>29721.250654133946</v>
      </c>
      <c r="K33" s="38">
        <f t="shared" si="4"/>
        <v>297212.50654133945</v>
      </c>
    </row>
    <row r="34" spans="9:11" x14ac:dyDescent="0.3">
      <c r="I34" s="36">
        <v>15</v>
      </c>
      <c r="J34" s="37">
        <f t="shared" si="5"/>
        <v>28532.400627968589</v>
      </c>
      <c r="K34" s="38">
        <f t="shared" si="4"/>
        <v>427986.00941952883</v>
      </c>
    </row>
    <row r="35" spans="9:11" x14ac:dyDescent="0.3">
      <c r="I35" s="36">
        <v>20</v>
      </c>
      <c r="J35" s="37">
        <f t="shared" si="5"/>
        <v>27391.104602849846</v>
      </c>
      <c r="K35" s="38">
        <f t="shared" si="4"/>
        <v>547822.09205699689</v>
      </c>
    </row>
    <row r="36" spans="9:11" x14ac:dyDescent="0.3">
      <c r="I36" s="36">
        <v>25</v>
      </c>
      <c r="J36" s="37">
        <f t="shared" si="5"/>
        <v>26295.460418735853</v>
      </c>
      <c r="K36" s="38">
        <f t="shared" si="4"/>
        <v>657386.51046839636</v>
      </c>
    </row>
    <row r="37" spans="9:11" x14ac:dyDescent="0.3">
      <c r="I37" s="36">
        <v>30</v>
      </c>
      <c r="J37" s="37">
        <f t="shared" si="5"/>
        <v>25243.64200198642</v>
      </c>
      <c r="K37" s="38">
        <f t="shared" si="4"/>
        <v>757309.26005959255</v>
      </c>
    </row>
    <row r="38" spans="9:11" x14ac:dyDescent="0.3">
      <c r="I38" s="36">
        <v>40</v>
      </c>
      <c r="J38" s="37">
        <f t="shared" si="5"/>
        <v>24233.896321906963</v>
      </c>
      <c r="K38" s="38">
        <f t="shared" si="4"/>
        <v>969355.85287627857</v>
      </c>
    </row>
    <row r="39" spans="9:11" x14ac:dyDescent="0.3">
      <c r="I39" s="36">
        <v>50</v>
      </c>
      <c r="J39" s="37">
        <f t="shared" si="5"/>
        <v>23264.540469030686</v>
      </c>
      <c r="K39" s="38">
        <f t="shared" si="4"/>
        <v>1163227.0234515343</v>
      </c>
    </row>
    <row r="40" spans="9:11" x14ac:dyDescent="0.3">
      <c r="I40" s="36">
        <v>100</v>
      </c>
      <c r="J40" s="37">
        <f t="shared" si="5"/>
        <v>22333.958850269457</v>
      </c>
      <c r="K40" s="38">
        <f t="shared" si="4"/>
        <v>2233395.8850269457</v>
      </c>
    </row>
  </sheetData>
  <mergeCells count="3">
    <mergeCell ref="A15:U15"/>
    <mergeCell ref="I23:K23"/>
    <mergeCell ref="A1:U1"/>
  </mergeCells>
  <conditionalFormatting sqref="A3:U10">
    <cfRule type="expression" dxfId="7" priority="19" stopIfTrue="1">
      <formula>MOD(ROW(),4)&gt;1</formula>
    </cfRule>
    <cfRule type="expression" dxfId="6" priority="20" stopIfTrue="1">
      <formula>MOD(ROW(),4)&lt;2</formula>
    </cfRule>
  </conditionalFormatting>
  <conditionalFormatting sqref="A16:U21">
    <cfRule type="expression" dxfId="5" priority="1" stopIfTrue="1">
      <formula>MOD(ROW(),4)&gt;1</formula>
    </cfRule>
    <cfRule type="expression" dxfId="4" priority="2" stopIfTrue="1">
      <formula>MOD(ROW(),4)&lt;2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34"/>
  <sheetViews>
    <sheetView zoomScale="90" zoomScaleNormal="90" workbookViewId="0">
      <selection activeCell="O26" sqref="O26"/>
    </sheetView>
  </sheetViews>
  <sheetFormatPr defaultColWidth="9.109375" defaultRowHeight="14.4" x14ac:dyDescent="0.3"/>
  <cols>
    <col min="1" max="1" width="21.109375" style="3" customWidth="1"/>
    <col min="2" max="3" width="18.109375" style="3" customWidth="1"/>
    <col min="4" max="4" width="20.109375" style="3" bestFit="1" customWidth="1"/>
    <col min="5" max="5" width="9.33203125" style="4" bestFit="1" customWidth="1"/>
    <col min="6" max="6" width="11.88671875" style="5" bestFit="1" customWidth="1"/>
    <col min="7" max="7" width="5.5546875" style="3" bestFit="1" customWidth="1"/>
    <col min="8" max="8" width="30.109375" style="3" bestFit="1" customWidth="1"/>
    <col min="9" max="9" width="11.88671875" style="5" bestFit="1" customWidth="1"/>
    <col min="10" max="10" width="18.88671875" style="5" customWidth="1"/>
    <col min="11" max="11" width="12.88671875" style="6" bestFit="1" customWidth="1"/>
    <col min="12" max="12" width="13.44140625" style="5" bestFit="1" customWidth="1"/>
    <col min="13" max="13" width="13.33203125" style="5" bestFit="1" customWidth="1"/>
    <col min="14" max="14" width="14.44140625" style="5" bestFit="1" customWidth="1"/>
    <col min="15" max="15" width="14.33203125" style="7" bestFit="1" customWidth="1"/>
    <col min="16" max="16" width="13.5546875" style="7" customWidth="1"/>
    <col min="17" max="17" width="12" style="5" bestFit="1" customWidth="1"/>
    <col min="18" max="18" width="8.6640625" style="33" bestFit="1" customWidth="1"/>
    <col min="19" max="19" width="10.5546875" style="3" bestFit="1" customWidth="1"/>
    <col min="20" max="20" width="17.6640625" style="3" customWidth="1"/>
    <col min="21" max="21" width="5.44140625" style="3" bestFit="1" customWidth="1"/>
    <col min="22" max="16384" width="9.109375" style="3"/>
  </cols>
  <sheetData>
    <row r="1" spans="1:41" ht="15" thickBot="1" x14ac:dyDescent="0.35">
      <c r="A1" s="46" t="s">
        <v>139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51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</row>
    <row r="2" spans="1:41" x14ac:dyDescent="0.3">
      <c r="A2" s="2" t="s">
        <v>0</v>
      </c>
      <c r="B2" s="2" t="s">
        <v>125</v>
      </c>
      <c r="C2" s="2" t="s">
        <v>126</v>
      </c>
      <c r="D2" s="2" t="s">
        <v>1</v>
      </c>
      <c r="E2" s="10" t="s">
        <v>2</v>
      </c>
      <c r="F2" s="11" t="s">
        <v>3</v>
      </c>
      <c r="G2" s="2" t="s">
        <v>4</v>
      </c>
      <c r="H2" s="2" t="s">
        <v>5</v>
      </c>
      <c r="I2" s="11" t="s">
        <v>6</v>
      </c>
      <c r="J2" s="11" t="s">
        <v>7</v>
      </c>
      <c r="K2" s="12" t="s">
        <v>8</v>
      </c>
      <c r="L2" s="11" t="s">
        <v>9</v>
      </c>
      <c r="M2" s="11" t="s">
        <v>10</v>
      </c>
      <c r="N2" s="11" t="s">
        <v>11</v>
      </c>
      <c r="O2" s="13" t="s">
        <v>12</v>
      </c>
      <c r="P2" s="13" t="s">
        <v>13</v>
      </c>
      <c r="Q2" s="11" t="s">
        <v>14</v>
      </c>
      <c r="R2" s="14" t="s">
        <v>15</v>
      </c>
      <c r="S2" s="2" t="s">
        <v>16</v>
      </c>
      <c r="T2" s="2" t="s">
        <v>17</v>
      </c>
      <c r="U2" s="2" t="s">
        <v>18</v>
      </c>
    </row>
    <row r="3" spans="1:41" x14ac:dyDescent="0.3">
      <c r="A3" s="3" t="s">
        <v>50</v>
      </c>
      <c r="B3" s="9" t="s">
        <v>130</v>
      </c>
      <c r="C3" s="9" t="s">
        <v>129</v>
      </c>
      <c r="D3" s="3" t="s">
        <v>51</v>
      </c>
      <c r="E3" s="4">
        <v>45350</v>
      </c>
      <c r="F3" s="5">
        <v>2300000</v>
      </c>
      <c r="G3" s="3" t="s">
        <v>21</v>
      </c>
      <c r="H3" s="3" t="s">
        <v>22</v>
      </c>
      <c r="I3" s="5">
        <v>2300000</v>
      </c>
      <c r="J3" s="5">
        <v>409800</v>
      </c>
      <c r="K3" s="6">
        <f t="shared" ref="K3" si="0">J3/I3*100</f>
        <v>17.817391304347826</v>
      </c>
      <c r="L3" s="5">
        <v>1449552</v>
      </c>
      <c r="M3" s="5">
        <f>I3-1215246</f>
        <v>1084754</v>
      </c>
      <c r="N3" s="5">
        <v>234306</v>
      </c>
      <c r="O3" s="7">
        <v>7.5</v>
      </c>
      <c r="P3" s="7">
        <v>7.5</v>
      </c>
      <c r="Q3" s="5">
        <f t="shared" ref="Q3" si="1">M3/O3</f>
        <v>144633.86666666667</v>
      </c>
      <c r="R3" s="1" t="s">
        <v>23</v>
      </c>
      <c r="S3" s="3" t="s">
        <v>52</v>
      </c>
      <c r="U3" s="8" t="s">
        <v>26</v>
      </c>
    </row>
    <row r="4" spans="1:41" x14ac:dyDescent="0.3">
      <c r="A4" s="3" t="s">
        <v>85</v>
      </c>
      <c r="B4" s="9" t="s">
        <v>130</v>
      </c>
      <c r="C4" s="9" t="s">
        <v>129</v>
      </c>
      <c r="D4" s="3" t="s">
        <v>86</v>
      </c>
      <c r="E4" s="4">
        <v>45670</v>
      </c>
      <c r="F4" s="5">
        <v>85000</v>
      </c>
      <c r="G4" s="3" t="s">
        <v>70</v>
      </c>
      <c r="H4" s="3" t="s">
        <v>22</v>
      </c>
      <c r="I4" s="5">
        <v>85000</v>
      </c>
      <c r="J4" s="5">
        <v>39900</v>
      </c>
      <c r="K4" s="6">
        <f>J4/I4*100</f>
        <v>46.941176470588239</v>
      </c>
      <c r="L4" s="5">
        <v>79163</v>
      </c>
      <c r="M4" s="5">
        <f>I4-67004</f>
        <v>17996</v>
      </c>
      <c r="N4" s="5">
        <v>12159</v>
      </c>
      <c r="O4" s="7">
        <v>7.0000000000000007E-2</v>
      </c>
      <c r="P4" s="7">
        <v>7.0000000000000007E-2</v>
      </c>
      <c r="Q4" s="5">
        <f>M4/O4</f>
        <v>257085.71428571426</v>
      </c>
      <c r="R4" s="1" t="s">
        <v>23</v>
      </c>
      <c r="S4" s="3" t="s">
        <v>87</v>
      </c>
      <c r="U4" s="8" t="s">
        <v>26</v>
      </c>
    </row>
    <row r="5" spans="1:41" x14ac:dyDescent="0.3">
      <c r="A5" s="3" t="s">
        <v>97</v>
      </c>
      <c r="B5" s="9" t="s">
        <v>130</v>
      </c>
      <c r="C5" s="9" t="s">
        <v>129</v>
      </c>
      <c r="D5" s="3" t="s">
        <v>98</v>
      </c>
      <c r="E5" s="4">
        <v>45086</v>
      </c>
      <c r="F5" s="5">
        <v>90000</v>
      </c>
      <c r="G5" s="3" t="s">
        <v>21</v>
      </c>
      <c r="H5" s="3" t="s">
        <v>22</v>
      </c>
      <c r="I5" s="5">
        <v>90000</v>
      </c>
      <c r="J5" s="5">
        <v>38200</v>
      </c>
      <c r="K5" s="6">
        <f>J5/I5*100</f>
        <v>42.444444444444443</v>
      </c>
      <c r="L5" s="5">
        <v>96409</v>
      </c>
      <c r="M5" s="5">
        <f>I5-82513</f>
        <v>7487</v>
      </c>
      <c r="N5" s="5">
        <v>13896</v>
      </c>
      <c r="O5" s="7">
        <v>0.08</v>
      </c>
      <c r="P5" s="7">
        <v>0.08</v>
      </c>
      <c r="Q5" s="5">
        <f>M5/O5</f>
        <v>93587.5</v>
      </c>
      <c r="R5" s="1" t="s">
        <v>23</v>
      </c>
      <c r="S5" s="3" t="s">
        <v>99</v>
      </c>
      <c r="U5" s="8" t="s">
        <v>26</v>
      </c>
    </row>
    <row r="6" spans="1:41" ht="15" thickBot="1" x14ac:dyDescent="0.35">
      <c r="A6" s="3" t="s">
        <v>109</v>
      </c>
      <c r="B6" s="9" t="s">
        <v>130</v>
      </c>
      <c r="C6" s="9" t="s">
        <v>129</v>
      </c>
      <c r="D6" s="3" t="s">
        <v>110</v>
      </c>
      <c r="E6" s="4">
        <v>45100</v>
      </c>
      <c r="F6" s="5">
        <v>432000</v>
      </c>
      <c r="G6" s="3" t="s">
        <v>21</v>
      </c>
      <c r="H6" s="3" t="s">
        <v>22</v>
      </c>
      <c r="I6" s="5">
        <v>432000</v>
      </c>
      <c r="J6" s="5">
        <v>147400</v>
      </c>
      <c r="K6" s="6">
        <f>J6/I6*100</f>
        <v>34.120370370370374</v>
      </c>
      <c r="L6" s="5">
        <v>380662</v>
      </c>
      <c r="M6" s="5">
        <f>I6-374105</f>
        <v>57895</v>
      </c>
      <c r="N6" s="5">
        <v>6557</v>
      </c>
      <c r="O6" s="7">
        <v>0.17299999999999999</v>
      </c>
      <c r="P6" s="7">
        <v>0.17299999999999999</v>
      </c>
      <c r="Q6" s="5">
        <f>M6/O6</f>
        <v>334653.17919075146</v>
      </c>
      <c r="R6" s="1" t="s">
        <v>23</v>
      </c>
      <c r="S6" s="3" t="s">
        <v>111</v>
      </c>
      <c r="U6" s="8" t="s">
        <v>26</v>
      </c>
    </row>
    <row r="7" spans="1:41" ht="15" thickTop="1" x14ac:dyDescent="0.3">
      <c r="A7" s="15"/>
      <c r="B7" s="15"/>
      <c r="C7" s="15"/>
      <c r="D7" s="15"/>
      <c r="E7" s="16" t="s">
        <v>118</v>
      </c>
      <c r="F7" s="17">
        <f>SUM(F3:F6)</f>
        <v>2907000</v>
      </c>
      <c r="G7" s="15"/>
      <c r="H7" s="15"/>
      <c r="I7" s="17">
        <f>SUM(I3:I6)</f>
        <v>2907000</v>
      </c>
      <c r="J7" s="17">
        <f>SUM(J3:J6)</f>
        <v>635300</v>
      </c>
      <c r="K7" s="18"/>
      <c r="L7" s="17">
        <f>SUM(L3:L6)</f>
        <v>2005786</v>
      </c>
      <c r="M7" s="17">
        <f>SUM(M3:M6)</f>
        <v>1168132</v>
      </c>
      <c r="N7" s="17">
        <f>SUM(N3:N6)</f>
        <v>266918</v>
      </c>
      <c r="O7" s="19">
        <f>SUM(O3:O6)</f>
        <v>7.8230000000000004</v>
      </c>
      <c r="P7" s="19">
        <f>SUM(P3:P6)</f>
        <v>7.8230000000000004</v>
      </c>
      <c r="Q7" s="17"/>
      <c r="R7" s="20"/>
      <c r="S7" s="15"/>
      <c r="T7" s="15"/>
      <c r="U7" s="15"/>
    </row>
    <row r="8" spans="1:41" x14ac:dyDescent="0.3">
      <c r="A8" s="21"/>
      <c r="B8" s="21"/>
      <c r="C8" s="21"/>
      <c r="D8" s="21"/>
      <c r="E8" s="22"/>
      <c r="F8" s="23"/>
      <c r="G8" s="21"/>
      <c r="H8" s="21"/>
      <c r="I8" s="23"/>
      <c r="J8" s="23" t="s">
        <v>119</v>
      </c>
      <c r="K8" s="24">
        <f>J7/I7*100</f>
        <v>21.854145166838666</v>
      </c>
      <c r="L8" s="23"/>
      <c r="M8" s="23"/>
      <c r="N8" s="23" t="s">
        <v>120</v>
      </c>
      <c r="O8" s="25" t="s">
        <v>120</v>
      </c>
      <c r="P8" s="25"/>
      <c r="Q8" s="23" t="s">
        <v>120</v>
      </c>
      <c r="R8" s="26"/>
      <c r="S8" s="21"/>
      <c r="T8" s="21"/>
      <c r="U8" s="21"/>
    </row>
    <row r="9" spans="1:41" x14ac:dyDescent="0.3">
      <c r="A9" s="27"/>
      <c r="B9" s="27"/>
      <c r="C9" s="27"/>
      <c r="D9" s="27"/>
      <c r="E9" s="28"/>
      <c r="F9" s="29"/>
      <c r="G9" s="27"/>
      <c r="H9" s="27"/>
      <c r="I9" s="29"/>
      <c r="J9" s="29" t="s">
        <v>121</v>
      </c>
      <c r="K9" s="30">
        <f>STDEV(K4:K6)</f>
        <v>6.504919640356837</v>
      </c>
      <c r="L9" s="29"/>
      <c r="M9" s="29"/>
      <c r="N9" s="29" t="s">
        <v>122</v>
      </c>
      <c r="O9" s="31" t="s">
        <v>123</v>
      </c>
      <c r="P9" s="31">
        <f>M7/O7</f>
        <v>149320.20963824619</v>
      </c>
      <c r="Q9" s="29" t="s">
        <v>124</v>
      </c>
      <c r="R9" s="32"/>
      <c r="S9" s="27"/>
      <c r="T9" s="27"/>
      <c r="U9" s="27"/>
    </row>
    <row r="10" spans="1:41" ht="15" thickBot="1" x14ac:dyDescent="0.35"/>
    <row r="11" spans="1:41" ht="15" thickBot="1" x14ac:dyDescent="0.35">
      <c r="A11" s="43" t="s">
        <v>132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50"/>
    </row>
    <row r="12" spans="1:41" x14ac:dyDescent="0.3">
      <c r="A12" s="3" t="s">
        <v>89</v>
      </c>
      <c r="B12" s="9" t="s">
        <v>130</v>
      </c>
      <c r="C12" s="9" t="s">
        <v>129</v>
      </c>
      <c r="D12" s="3" t="s">
        <v>90</v>
      </c>
      <c r="E12" s="4">
        <v>45106</v>
      </c>
      <c r="F12" s="5">
        <v>125000</v>
      </c>
      <c r="G12" s="3" t="s">
        <v>88</v>
      </c>
      <c r="H12" s="3" t="s">
        <v>22</v>
      </c>
      <c r="I12" s="5">
        <v>125000</v>
      </c>
      <c r="J12" s="5">
        <v>88500</v>
      </c>
      <c r="K12" s="6">
        <f>J12/I12*100</f>
        <v>70.8</v>
      </c>
      <c r="L12" s="5">
        <v>261843</v>
      </c>
      <c r="M12" s="5">
        <f>I12-197574</f>
        <v>-72574</v>
      </c>
      <c r="N12" s="5">
        <v>64269</v>
      </c>
      <c r="O12" s="7">
        <v>0.37</v>
      </c>
      <c r="P12" s="7">
        <v>0.37</v>
      </c>
      <c r="Q12" s="5">
        <f>M12/O12</f>
        <v>-196145.94594594595</v>
      </c>
      <c r="R12" s="1" t="s">
        <v>23</v>
      </c>
      <c r="S12" s="3" t="s">
        <v>91</v>
      </c>
      <c r="U12" s="8" t="s">
        <v>26</v>
      </c>
    </row>
    <row r="13" spans="1:41" x14ac:dyDescent="0.3">
      <c r="A13" s="3" t="s">
        <v>94</v>
      </c>
      <c r="B13" s="9" t="s">
        <v>130</v>
      </c>
      <c r="C13" s="9" t="s">
        <v>129</v>
      </c>
      <c r="D13" s="3" t="s">
        <v>95</v>
      </c>
      <c r="E13" s="4">
        <v>45107</v>
      </c>
      <c r="F13" s="5">
        <v>215000</v>
      </c>
      <c r="G13" s="3" t="s">
        <v>21</v>
      </c>
      <c r="H13" s="3" t="s">
        <v>22</v>
      </c>
      <c r="I13" s="5">
        <v>215000</v>
      </c>
      <c r="J13" s="5">
        <v>114000</v>
      </c>
      <c r="K13" s="6">
        <f>J13/I13*100</f>
        <v>53.023255813953483</v>
      </c>
      <c r="L13" s="5">
        <v>470949</v>
      </c>
      <c r="M13" s="5">
        <f>I13-432735</f>
        <v>-217735</v>
      </c>
      <c r="N13" s="5">
        <v>38214</v>
      </c>
      <c r="O13" s="7">
        <v>0.22</v>
      </c>
      <c r="P13" s="7">
        <v>0.22</v>
      </c>
      <c r="Q13" s="5">
        <f>M13/O13</f>
        <v>-989704.54545454541</v>
      </c>
      <c r="R13" s="1" t="s">
        <v>23</v>
      </c>
      <c r="S13" s="3" t="s">
        <v>96</v>
      </c>
      <c r="U13" s="8" t="s">
        <v>26</v>
      </c>
    </row>
    <row r="14" spans="1:41" x14ac:dyDescent="0.3">
      <c r="A14" s="3" t="s">
        <v>115</v>
      </c>
      <c r="B14" s="9" t="s">
        <v>130</v>
      </c>
      <c r="C14" s="9" t="s">
        <v>129</v>
      </c>
      <c r="D14" s="3" t="s">
        <v>116</v>
      </c>
      <c r="E14" s="4">
        <v>45071</v>
      </c>
      <c r="F14" s="5">
        <v>54500</v>
      </c>
      <c r="G14" s="3" t="s">
        <v>21</v>
      </c>
      <c r="H14" s="3" t="s">
        <v>22</v>
      </c>
      <c r="I14" s="5">
        <v>54500</v>
      </c>
      <c r="J14" s="5">
        <v>37100</v>
      </c>
      <c r="K14" s="6">
        <f>J14/I14*100</f>
        <v>68.073394495412842</v>
      </c>
      <c r="L14" s="5">
        <v>127673</v>
      </c>
      <c r="M14" s="5">
        <f>I14-92064</f>
        <v>-37564</v>
      </c>
      <c r="N14" s="5">
        <v>35609</v>
      </c>
      <c r="O14" s="7">
        <v>0.20499999999999999</v>
      </c>
      <c r="P14" s="7">
        <v>0.20499999999999999</v>
      </c>
      <c r="Q14" s="5">
        <f>M14/O14</f>
        <v>-183239.02439024393</v>
      </c>
      <c r="R14" s="1" t="s">
        <v>23</v>
      </c>
      <c r="S14" s="3" t="s">
        <v>117</v>
      </c>
      <c r="U14" s="8" t="s">
        <v>26</v>
      </c>
    </row>
    <row r="15" spans="1:41" x14ac:dyDescent="0.3">
      <c r="A15" s="3" t="s">
        <v>44</v>
      </c>
      <c r="B15" s="9" t="s">
        <v>130</v>
      </c>
      <c r="C15" s="9" t="s">
        <v>129</v>
      </c>
      <c r="D15" s="3" t="s">
        <v>45</v>
      </c>
      <c r="E15" s="4">
        <v>45030</v>
      </c>
      <c r="F15" s="5">
        <v>75000</v>
      </c>
      <c r="G15" s="3" t="s">
        <v>21</v>
      </c>
      <c r="H15" s="3" t="s">
        <v>22</v>
      </c>
      <c r="I15" s="5">
        <v>75000</v>
      </c>
      <c r="J15" s="5">
        <v>22400</v>
      </c>
      <c r="K15" s="6">
        <f>J15/I15*100</f>
        <v>29.866666666666671</v>
      </c>
      <c r="L15" s="5">
        <v>61466</v>
      </c>
      <c r="M15" s="5">
        <f>I15-60708</f>
        <v>14292</v>
      </c>
      <c r="N15" s="5">
        <v>758</v>
      </c>
      <c r="O15" s="7">
        <v>0.02</v>
      </c>
      <c r="P15" s="7">
        <v>0.02</v>
      </c>
      <c r="Q15" s="5">
        <f>M15/O15</f>
        <v>714600</v>
      </c>
      <c r="R15" s="1" t="s">
        <v>23</v>
      </c>
      <c r="U15" s="8" t="s">
        <v>26</v>
      </c>
    </row>
    <row r="16" spans="1:41" ht="15" thickBot="1" x14ac:dyDescent="0.35"/>
    <row r="17" spans="9:14" ht="15" thickBot="1" x14ac:dyDescent="0.35">
      <c r="I17" s="45" t="s">
        <v>133</v>
      </c>
      <c r="J17" s="45"/>
      <c r="K17" s="45"/>
      <c r="M17" s="39" t="s">
        <v>137</v>
      </c>
      <c r="N17" s="40">
        <v>149300</v>
      </c>
    </row>
    <row r="18" spans="9:14" x14ac:dyDescent="0.3">
      <c r="I18" s="34" t="s">
        <v>134</v>
      </c>
      <c r="J18" s="35" t="s">
        <v>135</v>
      </c>
      <c r="K18" s="34" t="s">
        <v>136</v>
      </c>
    </row>
    <row r="19" spans="9:14" x14ac:dyDescent="0.3">
      <c r="I19" s="36">
        <v>1</v>
      </c>
      <c r="J19" s="37">
        <v>149300</v>
      </c>
      <c r="K19" s="38">
        <f>I19*J19</f>
        <v>149300</v>
      </c>
    </row>
    <row r="20" spans="9:14" x14ac:dyDescent="0.3">
      <c r="I20" s="36">
        <v>1.5</v>
      </c>
      <c r="J20" s="37">
        <f>J19-(J19*0.04)</f>
        <v>143328</v>
      </c>
      <c r="K20" s="38">
        <f t="shared" ref="K20:K34" si="2">I20*J20</f>
        <v>214992</v>
      </c>
    </row>
    <row r="21" spans="9:14" x14ac:dyDescent="0.3">
      <c r="I21" s="36">
        <v>2</v>
      </c>
      <c r="J21" s="37">
        <f t="shared" ref="J21:J34" si="3">J20-(J20*0.04)</f>
        <v>137594.88</v>
      </c>
      <c r="K21" s="38">
        <f t="shared" si="2"/>
        <v>275189.76000000001</v>
      </c>
    </row>
    <row r="22" spans="9:14" x14ac:dyDescent="0.3">
      <c r="I22" s="36">
        <v>2.5</v>
      </c>
      <c r="J22" s="37">
        <f t="shared" si="3"/>
        <v>132091.08480000001</v>
      </c>
      <c r="K22" s="38">
        <f t="shared" si="2"/>
        <v>330227.71200000006</v>
      </c>
    </row>
    <row r="23" spans="9:14" x14ac:dyDescent="0.3">
      <c r="I23" s="36">
        <v>3</v>
      </c>
      <c r="J23" s="37">
        <f t="shared" si="3"/>
        <v>126807.44140800001</v>
      </c>
      <c r="K23" s="38">
        <f t="shared" si="2"/>
        <v>380422.32422400004</v>
      </c>
    </row>
    <row r="24" spans="9:14" x14ac:dyDescent="0.3">
      <c r="I24" s="36">
        <v>4</v>
      </c>
      <c r="J24" s="37">
        <f t="shared" si="3"/>
        <v>121735.14375168001</v>
      </c>
      <c r="K24" s="38">
        <f t="shared" si="2"/>
        <v>486940.57500672003</v>
      </c>
    </row>
    <row r="25" spans="9:14" x14ac:dyDescent="0.3">
      <c r="I25" s="36">
        <v>5</v>
      </c>
      <c r="J25" s="37">
        <f t="shared" si="3"/>
        <v>116865.7380016128</v>
      </c>
      <c r="K25" s="38">
        <f t="shared" si="2"/>
        <v>584328.69000806403</v>
      </c>
    </row>
    <row r="26" spans="9:14" x14ac:dyDescent="0.3">
      <c r="I26" s="36">
        <v>7</v>
      </c>
      <c r="J26" s="37">
        <f t="shared" si="3"/>
        <v>112191.10848154829</v>
      </c>
      <c r="K26" s="38">
        <f t="shared" si="2"/>
        <v>785337.75937083806</v>
      </c>
    </row>
    <row r="27" spans="9:14" x14ac:dyDescent="0.3">
      <c r="I27" s="36">
        <v>10</v>
      </c>
      <c r="J27" s="37">
        <f t="shared" si="3"/>
        <v>107703.46414228636</v>
      </c>
      <c r="K27" s="38">
        <f t="shared" si="2"/>
        <v>1077034.6414228636</v>
      </c>
    </row>
    <row r="28" spans="9:14" x14ac:dyDescent="0.3">
      <c r="I28" s="36">
        <v>15</v>
      </c>
      <c r="J28" s="37">
        <f t="shared" si="3"/>
        <v>103395.32557659491</v>
      </c>
      <c r="K28" s="38">
        <f t="shared" si="2"/>
        <v>1550929.8836489236</v>
      </c>
    </row>
    <row r="29" spans="9:14" x14ac:dyDescent="0.3">
      <c r="I29" s="36">
        <v>20</v>
      </c>
      <c r="J29" s="37">
        <f t="shared" si="3"/>
        <v>99259.512553531124</v>
      </c>
      <c r="K29" s="38">
        <f t="shared" si="2"/>
        <v>1985190.2510706224</v>
      </c>
    </row>
    <row r="30" spans="9:14" x14ac:dyDescent="0.3">
      <c r="I30" s="36">
        <v>25</v>
      </c>
      <c r="J30" s="37">
        <f t="shared" si="3"/>
        <v>95289.132051389883</v>
      </c>
      <c r="K30" s="38">
        <f t="shared" si="2"/>
        <v>2382228.3012847472</v>
      </c>
    </row>
    <row r="31" spans="9:14" x14ac:dyDescent="0.3">
      <c r="I31" s="36">
        <v>30</v>
      </c>
      <c r="J31" s="37">
        <f t="shared" si="3"/>
        <v>91477.566769334284</v>
      </c>
      <c r="K31" s="38">
        <f t="shared" si="2"/>
        <v>2744327.0030800286</v>
      </c>
    </row>
    <row r="32" spans="9:14" x14ac:dyDescent="0.3">
      <c r="I32" s="36">
        <v>40</v>
      </c>
      <c r="J32" s="37">
        <f t="shared" si="3"/>
        <v>87818.464098560915</v>
      </c>
      <c r="K32" s="38">
        <f t="shared" si="2"/>
        <v>3512738.5639424366</v>
      </c>
    </row>
    <row r="33" spans="9:11" x14ac:dyDescent="0.3">
      <c r="I33" s="36">
        <v>50</v>
      </c>
      <c r="J33" s="37">
        <f t="shared" si="3"/>
        <v>84305.725534618483</v>
      </c>
      <c r="K33" s="38">
        <f t="shared" si="2"/>
        <v>4215286.2767309239</v>
      </c>
    </row>
    <row r="34" spans="9:11" x14ac:dyDescent="0.3">
      <c r="I34" s="36">
        <v>100</v>
      </c>
      <c r="J34" s="37">
        <f t="shared" si="3"/>
        <v>80933.496513233738</v>
      </c>
      <c r="K34" s="38">
        <f t="shared" si="2"/>
        <v>8093349.6513233734</v>
      </c>
    </row>
  </sheetData>
  <mergeCells count="3">
    <mergeCell ref="A11:U11"/>
    <mergeCell ref="I17:K17"/>
    <mergeCell ref="A1:U1"/>
  </mergeCells>
  <conditionalFormatting sqref="A3:U6">
    <cfRule type="expression" dxfId="3" priority="1" stopIfTrue="1">
      <formula>MOD(ROW(),4)&gt;1</formula>
    </cfRule>
    <cfRule type="expression" dxfId="2" priority="2" stopIfTrue="1">
      <formula>MOD(ROW(),4)&lt;2</formula>
    </cfRule>
  </conditionalFormatting>
  <conditionalFormatting sqref="A12:U15">
    <cfRule type="expression" dxfId="1" priority="9" stopIfTrue="1">
      <formula>MOD(ROW(),4)&gt;1</formula>
    </cfRule>
    <cfRule type="expression" dxfId="0" priority="10" stopIfTrue="1">
      <formula>MOD(ROW(),4)&lt;2</formula>
    </cfRule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Rural</vt:lpstr>
      <vt:lpstr>Secondary</vt:lpstr>
      <vt:lpstr>Prime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Keegan Bengel</dc:creator>
  <cp:lastModifiedBy>Connie Lipka</cp:lastModifiedBy>
  <cp:lastPrinted>2026-02-28T17:15:04Z</cp:lastPrinted>
  <dcterms:created xsi:type="dcterms:W3CDTF">2025-11-17T20:32:59Z</dcterms:created>
  <dcterms:modified xsi:type="dcterms:W3CDTF">2026-02-28T17:15:10Z</dcterms:modified>
</cp:coreProperties>
</file>